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46C5E531-3239-4223-A3C1-87526BF0AF6F}" xr6:coauthVersionLast="47" xr6:coauthVersionMax="47" xr10:uidLastSave="{00000000-0000-0000-0000-000000000000}"/>
  <bookViews>
    <workbookView xWindow="-120" yWindow="-120" windowWidth="20730" windowHeight="10545" activeTab="2" xr2:uid="{00000000-000D-0000-FFFF-FFFF00000000}"/>
  </bookViews>
  <sheets>
    <sheet name="Index" sheetId="8" r:id="rId1"/>
    <sheet name="STATEMENT 1" sheetId="4" r:id="rId2"/>
    <sheet name="STATEMENT 2" sheetId="2" r:id="rId3"/>
    <sheet name="STATEMENT 3" sheetId="5" r:id="rId4"/>
    <sheet name="STATEMENT 4" sheetId="6" r:id="rId5"/>
    <sheet name="STATEMENT 5" sheetId="7" r:id="rId6"/>
  </sheets>
  <externalReferences>
    <externalReference r:id="rId7"/>
  </externalReferences>
  <definedNames>
    <definedName name="DETAIL" localSheetId="0">#REF!</definedName>
    <definedName name="DETAIL">#REF!</definedName>
    <definedName name="_xlnm.Extract" localSheetId="0">#REF!</definedName>
    <definedName name="_xlnm.Extract">#REF!</definedName>
    <definedName name="_xlnm.Print_Area" localSheetId="1">'STATEMENT 1'!$A$1:$G$72</definedName>
    <definedName name="_xlnm.Print_Area" localSheetId="2">'STATEMENT 2'!$C$1:$Q$513</definedName>
    <definedName name="_xlnm.Print_Area" localSheetId="3">'STATEMENT 3'!$A$1:$J$122</definedName>
    <definedName name="_xlnm.Print_Area" localSheetId="4">'STATEMENT 4'!$A$1:$H$52</definedName>
    <definedName name="_xlnm.Print_Area" localSheetId="5">'STATEMENT 5'!$A$1:$M$82</definedName>
    <definedName name="_xlnm.Print_Area">#REF!</definedName>
    <definedName name="PRINT_AREA_MI">#REF!</definedName>
    <definedName name="_xlnm.Print_Titles" localSheetId="2">'STATEMENT 2'!$1:$11</definedName>
    <definedName name="_xlnm.Print_Titles" localSheetId="3">'STATEMENT 3'!$1:$4</definedName>
    <definedName name="_xlnm.Print_Titles" localSheetId="5">'STATEMENT 5'!$1:$11</definedName>
    <definedName name="SUMM" localSheetId="0">#REF!</definedName>
    <definedName name="SU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6" l="1"/>
  <c r="H51" i="6" s="1"/>
  <c r="I60" i="7" l="1"/>
  <c r="I67" i="7" s="1"/>
  <c r="I39" i="5"/>
  <c r="I46" i="5" s="1"/>
  <c r="I113" i="5" s="1"/>
  <c r="C25" i="6" l="1"/>
  <c r="E16" i="4"/>
  <c r="E24" i="4"/>
  <c r="H432" i="2"/>
  <c r="K431" i="2"/>
  <c r="H352" i="2"/>
  <c r="H32" i="2"/>
  <c r="H31" i="2"/>
  <c r="H14" i="2"/>
  <c r="H489" i="2"/>
  <c r="D89" i="5" l="1"/>
  <c r="D66" i="5"/>
  <c r="D65" i="5"/>
  <c r="D26" i="5"/>
  <c r="D112" i="5" s="1"/>
  <c r="G442" i="2"/>
  <c r="G43" i="2"/>
  <c r="G32" i="4"/>
  <c r="D29" i="5" s="1"/>
  <c r="G31" i="4"/>
  <c r="D28" i="5" s="1"/>
  <c r="G30" i="4"/>
  <c r="D27" i="5" s="1"/>
  <c r="G28" i="4"/>
  <c r="D25" i="5" s="1"/>
  <c r="G27" i="4"/>
  <c r="D24" i="5" s="1"/>
  <c r="G26" i="4"/>
  <c r="D23" i="5" s="1"/>
  <c r="G25" i="4"/>
  <c r="D22" i="5" s="1"/>
  <c r="G23" i="4"/>
  <c r="D20" i="5" s="1"/>
  <c r="G22" i="4"/>
  <c r="D19" i="5" s="1"/>
  <c r="G21" i="4"/>
  <c r="D18" i="5" s="1"/>
  <c r="G18" i="4"/>
  <c r="D15" i="5" s="1"/>
  <c r="G17" i="4"/>
  <c r="D14" i="5" s="1"/>
  <c r="G15" i="4"/>
  <c r="D12" i="5" s="1"/>
  <c r="I489" i="2"/>
  <c r="G489" i="2"/>
  <c r="D79" i="5" l="1"/>
  <c r="J489" i="2"/>
  <c r="J457" i="2"/>
  <c r="J456" i="2"/>
  <c r="J21" i="2"/>
  <c r="G19" i="4" s="1"/>
  <c r="D16" i="5" s="1"/>
  <c r="C29" i="6" l="1"/>
  <c r="D100" i="5"/>
  <c r="D104" i="5" s="1"/>
  <c r="J16" i="2"/>
  <c r="J31" i="2"/>
  <c r="G24" i="4" s="1"/>
  <c r="D21" i="5" s="1"/>
  <c r="J27" i="2"/>
  <c r="G20" i="4" s="1"/>
  <c r="D17" i="5" s="1"/>
  <c r="J15" i="2"/>
  <c r="G16" i="4" s="1"/>
  <c r="D13" i="5" s="1"/>
  <c r="D31" i="5" l="1"/>
  <c r="J445" i="2"/>
  <c r="J442" i="2"/>
  <c r="J166" i="2"/>
  <c r="J151" i="2"/>
  <c r="J132" i="2"/>
  <c r="J121" i="2"/>
  <c r="J93" i="2"/>
  <c r="J197" i="2" l="1"/>
  <c r="J158" i="2"/>
  <c r="J164" i="2"/>
  <c r="K164" i="2" s="1"/>
  <c r="J148" i="2"/>
  <c r="J149" i="2"/>
  <c r="J150" i="2"/>
  <c r="J143" i="2"/>
  <c r="J141" i="2"/>
  <c r="K141" i="2" s="1"/>
  <c r="J136" i="2"/>
  <c r="J87" i="2"/>
  <c r="J77" i="2"/>
  <c r="K77" i="2" s="1"/>
  <c r="Q290" i="2"/>
  <c r="P290" i="2"/>
  <c r="O290" i="2"/>
  <c r="N290" i="2"/>
  <c r="M290" i="2"/>
  <c r="L290" i="2"/>
  <c r="J290" i="2"/>
  <c r="I290" i="2"/>
  <c r="H290" i="2"/>
  <c r="G290" i="2"/>
  <c r="K289" i="2"/>
  <c r="K288" i="2"/>
  <c r="K290" i="2" s="1"/>
  <c r="Q286" i="2"/>
  <c r="P286" i="2"/>
  <c r="O286" i="2"/>
  <c r="N286" i="2"/>
  <c r="M286" i="2"/>
  <c r="L286" i="2"/>
  <c r="J286" i="2"/>
  <c r="I286" i="2"/>
  <c r="H286" i="2"/>
  <c r="G286" i="2"/>
  <c r="K285" i="2"/>
  <c r="K284" i="2"/>
  <c r="K286" i="2" s="1"/>
  <c r="G280" i="2"/>
  <c r="H280" i="2"/>
  <c r="I280" i="2"/>
  <c r="J280" i="2"/>
  <c r="L280" i="2"/>
  <c r="M280" i="2"/>
  <c r="N280" i="2"/>
  <c r="O280" i="2"/>
  <c r="P280" i="2"/>
  <c r="Q280" i="2"/>
  <c r="L292" i="2"/>
  <c r="M292" i="2"/>
  <c r="L293" i="2"/>
  <c r="L294" i="2" s="1"/>
  <c r="M293" i="2"/>
  <c r="M294" i="2" s="1"/>
  <c r="G294" i="2"/>
  <c r="H294" i="2"/>
  <c r="I294" i="2"/>
  <c r="J294" i="2"/>
  <c r="K294" i="2"/>
  <c r="N294" i="2"/>
  <c r="O294" i="2"/>
  <c r="P294" i="2"/>
  <c r="Q294" i="2"/>
  <c r="K276" i="2"/>
  <c r="K277" i="2"/>
  <c r="K278" i="2"/>
  <c r="K279" i="2"/>
  <c r="K491" i="2"/>
  <c r="K490" i="2"/>
  <c r="K489" i="2"/>
  <c r="K492" i="2" s="1"/>
  <c r="K472" i="2"/>
  <c r="K483" i="2" s="1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47" i="2"/>
  <c r="K446" i="2"/>
  <c r="K448" i="2" s="1"/>
  <c r="K441" i="2"/>
  <c r="K442" i="2" s="1"/>
  <c r="K440" i="2"/>
  <c r="K439" i="2"/>
  <c r="K432" i="2"/>
  <c r="K429" i="2"/>
  <c r="K426" i="2"/>
  <c r="K422" i="2"/>
  <c r="K423" i="2" s="1"/>
  <c r="K406" i="2"/>
  <c r="K405" i="2"/>
  <c r="K404" i="2"/>
  <c r="K403" i="2"/>
  <c r="K402" i="2"/>
  <c r="K401" i="2"/>
  <c r="K396" i="2"/>
  <c r="K395" i="2"/>
  <c r="K394" i="2"/>
  <c r="K393" i="2"/>
  <c r="K392" i="2"/>
  <c r="K391" i="2"/>
  <c r="K390" i="2"/>
  <c r="K384" i="2"/>
  <c r="K383" i="2"/>
  <c r="K382" i="2"/>
  <c r="K381" i="2"/>
  <c r="K380" i="2"/>
  <c r="K379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58" i="2"/>
  <c r="K360" i="2" s="1"/>
  <c r="K351" i="2"/>
  <c r="K346" i="2"/>
  <c r="K345" i="2"/>
  <c r="K344" i="2"/>
  <c r="K343" i="2"/>
  <c r="K342" i="2"/>
  <c r="K341" i="2"/>
  <c r="K340" i="2"/>
  <c r="K339" i="2"/>
  <c r="K338" i="2"/>
  <c r="K337" i="2"/>
  <c r="K333" i="2"/>
  <c r="K332" i="2"/>
  <c r="K331" i="2"/>
  <c r="K327" i="2"/>
  <c r="K326" i="2"/>
  <c r="K325" i="2"/>
  <c r="K324" i="2"/>
  <c r="K323" i="2"/>
  <c r="K322" i="2"/>
  <c r="K321" i="2"/>
  <c r="K320" i="2"/>
  <c r="K316" i="2"/>
  <c r="K315" i="2"/>
  <c r="K314" i="2"/>
  <c r="K313" i="2"/>
  <c r="K312" i="2"/>
  <c r="K311" i="2"/>
  <c r="K310" i="2"/>
  <c r="K306" i="2"/>
  <c r="K305" i="2"/>
  <c r="K304" i="2"/>
  <c r="K303" i="2"/>
  <c r="K302" i="2"/>
  <c r="K298" i="2"/>
  <c r="K297" i="2"/>
  <c r="K272" i="2"/>
  <c r="K271" i="2"/>
  <c r="K267" i="2"/>
  <c r="K268" i="2" s="1"/>
  <c r="K263" i="2"/>
  <c r="K262" i="2"/>
  <c r="K261" i="2"/>
  <c r="K260" i="2"/>
  <c r="K259" i="2"/>
  <c r="K254" i="2"/>
  <c r="K253" i="2"/>
  <c r="K252" i="2"/>
  <c r="K251" i="2"/>
  <c r="K250" i="2"/>
  <c r="K245" i="2"/>
  <c r="K244" i="2"/>
  <c r="K243" i="2"/>
  <c r="K242" i="2"/>
  <c r="K241" i="2"/>
  <c r="K240" i="2"/>
  <c r="K236" i="2"/>
  <c r="K235" i="2"/>
  <c r="K234" i="2"/>
  <c r="K233" i="2"/>
  <c r="K232" i="2"/>
  <c r="K231" i="2"/>
  <c r="K227" i="2"/>
  <c r="K226" i="2"/>
  <c r="K228" i="2" s="1"/>
  <c r="K221" i="2"/>
  <c r="K220" i="2"/>
  <c r="K218" i="2"/>
  <c r="K217" i="2"/>
  <c r="K216" i="2"/>
  <c r="K212" i="2"/>
  <c r="K211" i="2"/>
  <c r="K210" i="2"/>
  <c r="K209" i="2"/>
  <c r="K205" i="2"/>
  <c r="K206" i="2" s="1"/>
  <c r="K201" i="2"/>
  <c r="K200" i="2"/>
  <c r="K199" i="2"/>
  <c r="K198" i="2"/>
  <c r="K197" i="2"/>
  <c r="K196" i="2"/>
  <c r="K192" i="2"/>
  <c r="K191" i="2"/>
  <c r="K187" i="2"/>
  <c r="K186" i="2"/>
  <c r="K182" i="2"/>
  <c r="K181" i="2"/>
  <c r="K180" i="2"/>
  <c r="K178" i="2"/>
  <c r="K177" i="2"/>
  <c r="K176" i="2"/>
  <c r="K175" i="2"/>
  <c r="K174" i="2"/>
  <c r="K173" i="2"/>
  <c r="K172" i="2"/>
  <c r="K171" i="2"/>
  <c r="K166" i="2"/>
  <c r="K165" i="2"/>
  <c r="K163" i="2"/>
  <c r="K162" i="2"/>
  <c r="K161" i="2"/>
  <c r="K160" i="2"/>
  <c r="K159" i="2"/>
  <c r="K158" i="2"/>
  <c r="K151" i="2"/>
  <c r="K150" i="2"/>
  <c r="K149" i="2"/>
  <c r="K148" i="2"/>
  <c r="K147" i="2"/>
  <c r="K146" i="2"/>
  <c r="K145" i="2"/>
  <c r="K144" i="2"/>
  <c r="K142" i="2"/>
  <c r="K140" i="2"/>
  <c r="K139" i="2"/>
  <c r="K138" i="2"/>
  <c r="K137" i="2"/>
  <c r="K136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5" i="2"/>
  <c r="K114" i="2"/>
  <c r="K113" i="2"/>
  <c r="K112" i="2"/>
  <c r="K111" i="2"/>
  <c r="K110" i="2"/>
  <c r="K108" i="2"/>
  <c r="K93" i="2"/>
  <c r="K94" i="2" s="1"/>
  <c r="K87" i="2"/>
  <c r="K88" i="2" s="1"/>
  <c r="K104" i="2"/>
  <c r="K103" i="2"/>
  <c r="K102" i="2"/>
  <c r="K101" i="2"/>
  <c r="K100" i="2"/>
  <c r="K99" i="2"/>
  <c r="K83" i="2"/>
  <c r="K82" i="2"/>
  <c r="K81" i="2"/>
  <c r="K76" i="2"/>
  <c r="K72" i="2"/>
  <c r="K71" i="2"/>
  <c r="K67" i="2"/>
  <c r="K68" i="2" s="1"/>
  <c r="K65" i="2"/>
  <c r="K61" i="2"/>
  <c r="K60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13" i="2"/>
  <c r="K55" i="2"/>
  <c r="K56" i="2"/>
  <c r="K51" i="2"/>
  <c r="K50" i="2"/>
  <c r="K47" i="2"/>
  <c r="K48" i="2" s="1"/>
  <c r="Q352" i="2"/>
  <c r="Q353" i="2" s="1"/>
  <c r="P352" i="2"/>
  <c r="P353" i="2" s="1"/>
  <c r="O352" i="2"/>
  <c r="O353" i="2" s="1"/>
  <c r="Q67" i="2"/>
  <c r="Q68" i="2" s="1"/>
  <c r="P67" i="2"/>
  <c r="P68" i="2" s="1"/>
  <c r="O67" i="2"/>
  <c r="O68" i="2" s="1"/>
  <c r="J43" i="2"/>
  <c r="L43" i="2"/>
  <c r="N43" i="2"/>
  <c r="O43" i="2"/>
  <c r="P43" i="2"/>
  <c r="Q43" i="2"/>
  <c r="L48" i="2"/>
  <c r="M48" i="2"/>
  <c r="N48" i="2"/>
  <c r="O48" i="2"/>
  <c r="P48" i="2"/>
  <c r="Q48" i="2"/>
  <c r="L52" i="2"/>
  <c r="M52" i="2"/>
  <c r="N52" i="2"/>
  <c r="O52" i="2"/>
  <c r="P52" i="2"/>
  <c r="Q52" i="2"/>
  <c r="N57" i="2"/>
  <c r="O57" i="2"/>
  <c r="P57" i="2"/>
  <c r="Q57" i="2"/>
  <c r="N62" i="2"/>
  <c r="O62" i="2"/>
  <c r="P62" i="2"/>
  <c r="Q62" i="2"/>
  <c r="L68" i="2"/>
  <c r="M68" i="2"/>
  <c r="N68" i="2"/>
  <c r="N73" i="2"/>
  <c r="O73" i="2"/>
  <c r="P73" i="2"/>
  <c r="Q73" i="2"/>
  <c r="L78" i="2"/>
  <c r="M78" i="2"/>
  <c r="N78" i="2"/>
  <c r="O78" i="2"/>
  <c r="P78" i="2"/>
  <c r="Q78" i="2"/>
  <c r="L84" i="2"/>
  <c r="M84" i="2"/>
  <c r="N84" i="2"/>
  <c r="O84" i="2"/>
  <c r="P84" i="2"/>
  <c r="Q84" i="2"/>
  <c r="L88" i="2"/>
  <c r="M88" i="2"/>
  <c r="N88" i="2"/>
  <c r="O88" i="2"/>
  <c r="P88" i="2"/>
  <c r="Q88" i="2"/>
  <c r="Q223" i="2"/>
  <c r="N353" i="2"/>
  <c r="L360" i="2"/>
  <c r="M360" i="2"/>
  <c r="N360" i="2"/>
  <c r="O360" i="2"/>
  <c r="P360" i="2"/>
  <c r="Q360" i="2"/>
  <c r="N376" i="2"/>
  <c r="O376" i="2"/>
  <c r="P376" i="2"/>
  <c r="Q376" i="2"/>
  <c r="N385" i="2"/>
  <c r="O385" i="2"/>
  <c r="P385" i="2"/>
  <c r="Q385" i="2"/>
  <c r="N397" i="2"/>
  <c r="O397" i="2"/>
  <c r="P397" i="2"/>
  <c r="Q397" i="2"/>
  <c r="N407" i="2"/>
  <c r="O407" i="2"/>
  <c r="P407" i="2"/>
  <c r="Q407" i="2"/>
  <c r="N412" i="2"/>
  <c r="O412" i="2"/>
  <c r="P412" i="2"/>
  <c r="Q412" i="2"/>
  <c r="L423" i="2"/>
  <c r="M423" i="2"/>
  <c r="N423" i="2"/>
  <c r="O423" i="2"/>
  <c r="P423" i="2"/>
  <c r="Q423" i="2"/>
  <c r="N427" i="2"/>
  <c r="O427" i="2"/>
  <c r="P427" i="2"/>
  <c r="Q427" i="2"/>
  <c r="L433" i="2"/>
  <c r="M433" i="2"/>
  <c r="N433" i="2"/>
  <c r="O433" i="2"/>
  <c r="P433" i="2"/>
  <c r="Q433" i="2"/>
  <c r="N442" i="2"/>
  <c r="O442" i="2"/>
  <c r="P442" i="2"/>
  <c r="Q442" i="2"/>
  <c r="L448" i="2"/>
  <c r="M448" i="2"/>
  <c r="N448" i="2"/>
  <c r="O448" i="2"/>
  <c r="P448" i="2"/>
  <c r="Q448" i="2"/>
  <c r="N469" i="2"/>
  <c r="O469" i="2"/>
  <c r="P469" i="2"/>
  <c r="Q469" i="2"/>
  <c r="N483" i="2"/>
  <c r="O483" i="2"/>
  <c r="O485" i="2" s="1"/>
  <c r="P483" i="2"/>
  <c r="Q483" i="2"/>
  <c r="N492" i="2"/>
  <c r="O492" i="2"/>
  <c r="P492" i="2"/>
  <c r="Q492" i="2"/>
  <c r="N511" i="2"/>
  <c r="O511" i="2"/>
  <c r="P511" i="2"/>
  <c r="Q511" i="2"/>
  <c r="Q348" i="2"/>
  <c r="N348" i="2"/>
  <c r="O348" i="2"/>
  <c r="P348" i="2"/>
  <c r="Q334" i="2"/>
  <c r="L334" i="2"/>
  <c r="M334" i="2"/>
  <c r="N334" i="2"/>
  <c r="O334" i="2"/>
  <c r="P334" i="2"/>
  <c r="Q328" i="2"/>
  <c r="N328" i="2"/>
  <c r="O328" i="2"/>
  <c r="P328" i="2"/>
  <c r="Q317" i="2"/>
  <c r="N317" i="2"/>
  <c r="O317" i="2"/>
  <c r="P317" i="2"/>
  <c r="L307" i="2"/>
  <c r="M307" i="2"/>
  <c r="N307" i="2"/>
  <c r="O307" i="2"/>
  <c r="P307" i="2"/>
  <c r="Q307" i="2"/>
  <c r="L299" i="2"/>
  <c r="M299" i="2"/>
  <c r="N299" i="2"/>
  <c r="O299" i="2"/>
  <c r="P299" i="2"/>
  <c r="Q299" i="2"/>
  <c r="L273" i="2"/>
  <c r="M273" i="2"/>
  <c r="N273" i="2"/>
  <c r="O273" i="2"/>
  <c r="P273" i="2"/>
  <c r="Q273" i="2"/>
  <c r="Q268" i="2"/>
  <c r="P268" i="2"/>
  <c r="N268" i="2"/>
  <c r="O268" i="2"/>
  <c r="N264" i="2"/>
  <c r="O264" i="2"/>
  <c r="P264" i="2"/>
  <c r="Q264" i="2"/>
  <c r="Q255" i="2"/>
  <c r="N255" i="2"/>
  <c r="O255" i="2"/>
  <c r="P255" i="2"/>
  <c r="N246" i="2"/>
  <c r="O246" i="2"/>
  <c r="P246" i="2"/>
  <c r="Q246" i="2"/>
  <c r="Q237" i="2"/>
  <c r="N237" i="2"/>
  <c r="O237" i="2"/>
  <c r="P237" i="2"/>
  <c r="N228" i="2"/>
  <c r="O228" i="2"/>
  <c r="P228" i="2"/>
  <c r="Q228" i="2"/>
  <c r="N223" i="2"/>
  <c r="O223" i="2"/>
  <c r="P223" i="2"/>
  <c r="Q213" i="2"/>
  <c r="L213" i="2"/>
  <c r="M213" i="2"/>
  <c r="N213" i="2"/>
  <c r="O213" i="2"/>
  <c r="P213" i="2"/>
  <c r="L206" i="2"/>
  <c r="M206" i="2"/>
  <c r="N206" i="2"/>
  <c r="O206" i="2"/>
  <c r="P206" i="2"/>
  <c r="Q206" i="2"/>
  <c r="N202" i="2"/>
  <c r="O202" i="2"/>
  <c r="P202" i="2"/>
  <c r="Q202" i="2"/>
  <c r="L193" i="2"/>
  <c r="M193" i="2"/>
  <c r="N193" i="2"/>
  <c r="O193" i="2"/>
  <c r="P193" i="2"/>
  <c r="Q193" i="2"/>
  <c r="L188" i="2"/>
  <c r="N188" i="2"/>
  <c r="O188" i="2"/>
  <c r="P188" i="2"/>
  <c r="Q188" i="2"/>
  <c r="N183" i="2"/>
  <c r="O183" i="2"/>
  <c r="P183" i="2"/>
  <c r="Q183" i="2"/>
  <c r="N167" i="2"/>
  <c r="O167" i="2"/>
  <c r="P167" i="2"/>
  <c r="Q167" i="2"/>
  <c r="L155" i="2"/>
  <c r="M155" i="2"/>
  <c r="N155" i="2"/>
  <c r="O155" i="2"/>
  <c r="P155" i="2"/>
  <c r="Q155" i="2"/>
  <c r="N133" i="2"/>
  <c r="O133" i="2"/>
  <c r="P133" i="2"/>
  <c r="Q133" i="2"/>
  <c r="L117" i="2"/>
  <c r="M117" i="2"/>
  <c r="N117" i="2"/>
  <c r="O117" i="2"/>
  <c r="P117" i="2"/>
  <c r="Q117" i="2"/>
  <c r="L105" i="2"/>
  <c r="M105" i="2"/>
  <c r="N105" i="2"/>
  <c r="O105" i="2"/>
  <c r="P105" i="2"/>
  <c r="Q105" i="2"/>
  <c r="Q94" i="2"/>
  <c r="L94" i="2"/>
  <c r="M94" i="2"/>
  <c r="N94" i="2"/>
  <c r="O94" i="2"/>
  <c r="P94" i="2"/>
  <c r="L263" i="2"/>
  <c r="J317" i="2"/>
  <c r="J179" i="2"/>
  <c r="K179" i="2" s="1"/>
  <c r="J352" i="2"/>
  <c r="K352" i="2" s="1"/>
  <c r="K109" i="2"/>
  <c r="H442" i="2"/>
  <c r="H506" i="2" s="1"/>
  <c r="H264" i="2"/>
  <c r="E33" i="4"/>
  <c r="F15" i="4"/>
  <c r="G506" i="2"/>
  <c r="J423" i="2"/>
  <c r="G42" i="4" s="1"/>
  <c r="J427" i="2"/>
  <c r="G43" i="4" s="1"/>
  <c r="D55" i="5" s="1"/>
  <c r="J433" i="2"/>
  <c r="G44" i="4" s="1"/>
  <c r="D56" i="5" s="1"/>
  <c r="J506" i="2"/>
  <c r="J448" i="2"/>
  <c r="J507" i="2" s="1"/>
  <c r="J469" i="2"/>
  <c r="C23" i="6" s="1"/>
  <c r="C27" i="6" s="1"/>
  <c r="C31" i="6" s="1"/>
  <c r="J492" i="2"/>
  <c r="J510" i="2" s="1"/>
  <c r="L510" i="2" s="1"/>
  <c r="J483" i="2"/>
  <c r="I492" i="2"/>
  <c r="I510" i="2" s="1"/>
  <c r="I483" i="2"/>
  <c r="I469" i="2"/>
  <c r="I448" i="2"/>
  <c r="I507" i="2" s="1"/>
  <c r="I442" i="2"/>
  <c r="I506" i="2" s="1"/>
  <c r="I433" i="2"/>
  <c r="F44" i="4" s="1"/>
  <c r="I429" i="2"/>
  <c r="I427" i="2"/>
  <c r="I423" i="2"/>
  <c r="F42" i="4" s="1"/>
  <c r="I412" i="2"/>
  <c r="I407" i="2"/>
  <c r="I397" i="2"/>
  <c r="I385" i="2"/>
  <c r="I376" i="2"/>
  <c r="I360" i="2"/>
  <c r="I353" i="2"/>
  <c r="I348" i="2"/>
  <c r="I334" i="2"/>
  <c r="I328" i="2"/>
  <c r="I317" i="2"/>
  <c r="I307" i="2"/>
  <c r="I299" i="2"/>
  <c r="I273" i="2"/>
  <c r="I268" i="2"/>
  <c r="I264" i="2"/>
  <c r="I255" i="2"/>
  <c r="I246" i="2"/>
  <c r="I237" i="2"/>
  <c r="I228" i="2"/>
  <c r="I223" i="2"/>
  <c r="I213" i="2"/>
  <c r="I206" i="2"/>
  <c r="I202" i="2"/>
  <c r="I193" i="2"/>
  <c r="I188" i="2"/>
  <c r="I183" i="2"/>
  <c r="I167" i="2"/>
  <c r="I155" i="2"/>
  <c r="I133" i="2"/>
  <c r="I117" i="2"/>
  <c r="I105" i="2"/>
  <c r="I94" i="2"/>
  <c r="I88" i="2"/>
  <c r="I84" i="2"/>
  <c r="I78" i="2"/>
  <c r="I73" i="2"/>
  <c r="I68" i="2"/>
  <c r="I62" i="2"/>
  <c r="I57" i="2"/>
  <c r="I52" i="2"/>
  <c r="I48" i="2"/>
  <c r="I43" i="2"/>
  <c r="I502" i="2" s="1"/>
  <c r="J68" i="2"/>
  <c r="L235" i="2"/>
  <c r="D33" i="4"/>
  <c r="E53" i="4"/>
  <c r="F53" i="4"/>
  <c r="G53" i="4"/>
  <c r="D39" i="5" s="1"/>
  <c r="D115" i="5" s="1"/>
  <c r="E54" i="4"/>
  <c r="F54" i="4"/>
  <c r="G54" i="4"/>
  <c r="E55" i="4"/>
  <c r="F55" i="4"/>
  <c r="G55" i="4"/>
  <c r="E58" i="4"/>
  <c r="F58" i="4"/>
  <c r="G58" i="4"/>
  <c r="E59" i="4"/>
  <c r="F59" i="4"/>
  <c r="G59" i="4"/>
  <c r="E60" i="4"/>
  <c r="F60" i="4"/>
  <c r="G60" i="4"/>
  <c r="D60" i="4"/>
  <c r="D59" i="4"/>
  <c r="D58" i="4"/>
  <c r="D53" i="4"/>
  <c r="D54" i="4"/>
  <c r="H334" i="2"/>
  <c r="H299" i="2"/>
  <c r="G348" i="2"/>
  <c r="G328" i="2"/>
  <c r="G317" i="2"/>
  <c r="G307" i="2"/>
  <c r="G299" i="2"/>
  <c r="G273" i="2"/>
  <c r="G268" i="2"/>
  <c r="G264" i="2"/>
  <c r="G255" i="2"/>
  <c r="G246" i="2"/>
  <c r="G237" i="2"/>
  <c r="G228" i="2"/>
  <c r="G223" i="2"/>
  <c r="G213" i="2"/>
  <c r="G206" i="2"/>
  <c r="G202" i="2"/>
  <c r="G193" i="2"/>
  <c r="G188" i="2"/>
  <c r="G183" i="2"/>
  <c r="G167" i="2"/>
  <c r="G155" i="2"/>
  <c r="G133" i="2"/>
  <c r="G117" i="2"/>
  <c r="G105" i="2"/>
  <c r="G94" i="2"/>
  <c r="G88" i="2"/>
  <c r="G84" i="2"/>
  <c r="G78" i="2"/>
  <c r="G73" i="2"/>
  <c r="G68" i="2"/>
  <c r="G62" i="2"/>
  <c r="H68" i="2"/>
  <c r="G57" i="2"/>
  <c r="G52" i="2"/>
  <c r="G48" i="2"/>
  <c r="G502" i="2"/>
  <c r="J412" i="2"/>
  <c r="J407" i="2"/>
  <c r="J397" i="2"/>
  <c r="J385" i="2"/>
  <c r="J376" i="2"/>
  <c r="J360" i="2"/>
  <c r="J348" i="2"/>
  <c r="J334" i="2"/>
  <c r="J328" i="2"/>
  <c r="J307" i="2"/>
  <c r="J299" i="2"/>
  <c r="J273" i="2"/>
  <c r="J268" i="2"/>
  <c r="J264" i="2"/>
  <c r="J255" i="2"/>
  <c r="J246" i="2"/>
  <c r="J237" i="2"/>
  <c r="J228" i="2"/>
  <c r="J223" i="2"/>
  <c r="J213" i="2"/>
  <c r="J206" i="2"/>
  <c r="J202" i="2"/>
  <c r="J193" i="2"/>
  <c r="J188" i="2"/>
  <c r="J133" i="2"/>
  <c r="J117" i="2"/>
  <c r="J105" i="2"/>
  <c r="J94" i="2"/>
  <c r="J88" i="2"/>
  <c r="J84" i="2"/>
  <c r="J73" i="2"/>
  <c r="J62" i="2"/>
  <c r="J57" i="2"/>
  <c r="J52" i="2"/>
  <c r="J48" i="2"/>
  <c r="I428" i="2"/>
  <c r="I398" i="2"/>
  <c r="I377" i="2"/>
  <c r="I134" i="2"/>
  <c r="F18" i="4"/>
  <c r="F22" i="4"/>
  <c r="F23" i="4"/>
  <c r="F27" i="4"/>
  <c r="F28" i="4"/>
  <c r="F29" i="4"/>
  <c r="F30" i="4"/>
  <c r="F31" i="4"/>
  <c r="F32" i="4"/>
  <c r="F26" i="4"/>
  <c r="F24" i="4"/>
  <c r="F21" i="4"/>
  <c r="F20" i="4"/>
  <c r="F17" i="4"/>
  <c r="F19" i="4"/>
  <c r="F16" i="4"/>
  <c r="F25" i="4"/>
  <c r="G448" i="2"/>
  <c r="G450" i="2" s="1"/>
  <c r="G492" i="2"/>
  <c r="G510" i="2" s="1"/>
  <c r="G483" i="2"/>
  <c r="G469" i="2"/>
  <c r="G334" i="2"/>
  <c r="G353" i="2"/>
  <c r="G360" i="2"/>
  <c r="G376" i="2"/>
  <c r="G385" i="2"/>
  <c r="G397" i="2"/>
  <c r="G407" i="2"/>
  <c r="G412" i="2"/>
  <c r="H307" i="2"/>
  <c r="K273" i="2"/>
  <c r="G433" i="2"/>
  <c r="D44" i="4" s="1"/>
  <c r="G427" i="2"/>
  <c r="D43" i="4" s="1"/>
  <c r="G423" i="2"/>
  <c r="D42" i="4" s="1"/>
  <c r="K427" i="2"/>
  <c r="K412" i="2"/>
  <c r="H84" i="2"/>
  <c r="H483" i="2"/>
  <c r="H397" i="2"/>
  <c r="H155" i="2"/>
  <c r="H117" i="2"/>
  <c r="H43" i="2"/>
  <c r="H502" i="2" s="1"/>
  <c r="H492" i="2"/>
  <c r="H510" i="2" s="1"/>
  <c r="H469" i="2"/>
  <c r="H448" i="2"/>
  <c r="H507" i="2" s="1"/>
  <c r="H433" i="2"/>
  <c r="E44" i="4" s="1"/>
  <c r="H427" i="2"/>
  <c r="E43" i="4" s="1"/>
  <c r="H423" i="2"/>
  <c r="E42" i="4" s="1"/>
  <c r="H412" i="2"/>
  <c r="H407" i="2"/>
  <c r="H385" i="2"/>
  <c r="H376" i="2"/>
  <c r="H360" i="2"/>
  <c r="H353" i="2"/>
  <c r="H348" i="2"/>
  <c r="H328" i="2"/>
  <c r="H317" i="2"/>
  <c r="H273" i="2"/>
  <c r="H268" i="2"/>
  <c r="H255" i="2"/>
  <c r="H246" i="2"/>
  <c r="H237" i="2"/>
  <c r="H228" i="2"/>
  <c r="H223" i="2"/>
  <c r="H213" i="2"/>
  <c r="H206" i="2"/>
  <c r="H202" i="2"/>
  <c r="H193" i="2"/>
  <c r="H188" i="2"/>
  <c r="H183" i="2"/>
  <c r="H167" i="2"/>
  <c r="H133" i="2"/>
  <c r="H105" i="2"/>
  <c r="H94" i="2"/>
  <c r="H88" i="2"/>
  <c r="H78" i="2"/>
  <c r="H73" i="2"/>
  <c r="H62" i="2"/>
  <c r="H57" i="2"/>
  <c r="H52" i="2"/>
  <c r="H48" i="2"/>
  <c r="K508" i="2"/>
  <c r="D91" i="5"/>
  <c r="D95" i="5" s="1"/>
  <c r="D106" i="5" s="1"/>
  <c r="D116" i="5" s="1"/>
  <c r="G33" i="4"/>
  <c r="I78" i="5"/>
  <c r="I82" i="5" s="1"/>
  <c r="I114" i="5" s="1"/>
  <c r="I118" i="5" s="1"/>
  <c r="M513" i="2"/>
  <c r="M512" i="2"/>
  <c r="M510" i="2"/>
  <c r="M509" i="2"/>
  <c r="M508" i="2"/>
  <c r="M507" i="2"/>
  <c r="M506" i="2"/>
  <c r="M500" i="2"/>
  <c r="M502" i="2" s="1"/>
  <c r="M511" i="2" s="1"/>
  <c r="M491" i="2"/>
  <c r="M489" i="2"/>
  <c r="M492" i="2" s="1"/>
  <c r="M487" i="2"/>
  <c r="M460" i="2"/>
  <c r="M429" i="2"/>
  <c r="M428" i="2"/>
  <c r="M424" i="2"/>
  <c r="M426" i="2" s="1"/>
  <c r="M427" i="2" s="1"/>
  <c r="M408" i="2"/>
  <c r="M366" i="2"/>
  <c r="M365" i="2"/>
  <c r="M364" i="2"/>
  <c r="M363" i="2"/>
  <c r="M376" i="2" s="1"/>
  <c r="M382" i="2" s="1"/>
  <c r="M362" i="2"/>
  <c r="M324" i="2"/>
  <c r="M322" i="2"/>
  <c r="M313" i="2"/>
  <c r="M266" i="2"/>
  <c r="M262" i="2"/>
  <c r="M259" i="2"/>
  <c r="M252" i="2"/>
  <c r="M250" i="2"/>
  <c r="M244" i="2"/>
  <c r="M242" i="2"/>
  <c r="M233" i="2"/>
  <c r="M232" i="2"/>
  <c r="M230" i="2"/>
  <c r="M225" i="2"/>
  <c r="M221" i="2"/>
  <c r="M207" i="2"/>
  <c r="M201" i="2"/>
  <c r="M199" i="2"/>
  <c r="M202" i="2" s="1"/>
  <c r="M185" i="2"/>
  <c r="M184" i="2"/>
  <c r="M181" i="2"/>
  <c r="M180" i="2"/>
  <c r="M179" i="2"/>
  <c r="M177" i="2"/>
  <c r="M176" i="2"/>
  <c r="M175" i="2"/>
  <c r="M168" i="2"/>
  <c r="M166" i="2"/>
  <c r="M165" i="2"/>
  <c r="M170" i="2" s="1"/>
  <c r="M159" i="2"/>
  <c r="M135" i="2"/>
  <c r="M132" i="2"/>
  <c r="M131" i="2"/>
  <c r="M121" i="2"/>
  <c r="M70" i="2"/>
  <c r="M64" i="2"/>
  <c r="M63" i="2"/>
  <c r="M60" i="2"/>
  <c r="M62" i="2" s="1"/>
  <c r="M59" i="2"/>
  <c r="M28" i="2"/>
  <c r="M27" i="2"/>
  <c r="M20" i="2"/>
  <c r="M22" i="2" s="1"/>
  <c r="M410" i="2"/>
  <c r="M412" i="2" s="1"/>
  <c r="M71" i="2"/>
  <c r="M73" i="2" s="1"/>
  <c r="M120" i="2"/>
  <c r="M133" i="2" s="1"/>
  <c r="M249" i="2"/>
  <c r="M255" i="2" s="1"/>
  <c r="M231" i="2"/>
  <c r="M237" i="2" s="1"/>
  <c r="M219" i="2"/>
  <c r="M223" i="2" s="1"/>
  <c r="M29" i="2"/>
  <c r="L121" i="2"/>
  <c r="L175" i="2"/>
  <c r="L177" i="2"/>
  <c r="L181" i="2"/>
  <c r="L185" i="2"/>
  <c r="L208" i="2"/>
  <c r="L245" i="2"/>
  <c r="L321" i="2"/>
  <c r="L323" i="2"/>
  <c r="L327" i="2"/>
  <c r="L379" i="2"/>
  <c r="L381" i="2"/>
  <c r="M35" i="2"/>
  <c r="L195" i="2"/>
  <c r="L220" i="2"/>
  <c r="L234" i="2"/>
  <c r="L200" i="2"/>
  <c r="M200" i="2"/>
  <c r="M195" i="2"/>
  <c r="M405" i="2"/>
  <c r="M407" i="2" s="1"/>
  <c r="M481" i="2"/>
  <c r="M208" i="2"/>
  <c r="M220" i="2"/>
  <c r="M234" i="2"/>
  <c r="M241" i="2"/>
  <c r="M245" i="2"/>
  <c r="M257" i="2"/>
  <c r="M275" i="2" s="1"/>
  <c r="M321" i="2"/>
  <c r="M323" i="2"/>
  <c r="M327" i="2"/>
  <c r="M379" i="2"/>
  <c r="M385" i="2" s="1"/>
  <c r="M381" i="2"/>
  <c r="M390" i="2"/>
  <c r="M392" i="2" s="1"/>
  <c r="M441" i="2"/>
  <c r="M442" i="2" s="1"/>
  <c r="M450" i="2" s="1"/>
  <c r="L176" i="2"/>
  <c r="L180" i="2"/>
  <c r="L184" i="2"/>
  <c r="L226" i="2"/>
  <c r="L228" i="2" s="1"/>
  <c r="M226" i="2"/>
  <c r="M228" i="2" s="1"/>
  <c r="L243" i="2"/>
  <c r="M243" i="2"/>
  <c r="L248" i="2"/>
  <c r="M248" i="2"/>
  <c r="L258" i="2"/>
  <c r="M258" i="2"/>
  <c r="M264" i="2" s="1"/>
  <c r="L260" i="2"/>
  <c r="M260" i="2"/>
  <c r="L267" i="2"/>
  <c r="L268" i="2" s="1"/>
  <c r="M267" i="2"/>
  <c r="M268" i="2" s="1"/>
  <c r="M320" i="2"/>
  <c r="M328" i="2" s="1"/>
  <c r="L326" i="2"/>
  <c r="M326" i="2"/>
  <c r="L378" i="2"/>
  <c r="M378" i="2"/>
  <c r="L380" i="2"/>
  <c r="M380" i="2"/>
  <c r="L406" i="2"/>
  <c r="M406" i="2"/>
  <c r="L409" i="2"/>
  <c r="M409" i="2"/>
  <c r="L411" i="2"/>
  <c r="M411" i="2"/>
  <c r="L482" i="2"/>
  <c r="M482" i="2"/>
  <c r="L484" i="2"/>
  <c r="M484" i="2"/>
  <c r="L488" i="2"/>
  <c r="M488" i="2"/>
  <c r="L490" i="2"/>
  <c r="M490" i="2"/>
  <c r="L491" i="2"/>
  <c r="L59" i="2"/>
  <c r="L132" i="2"/>
  <c r="L165" i="2"/>
  <c r="L244" i="2"/>
  <c r="L249" i="2"/>
  <c r="M311" i="2"/>
  <c r="M315" i="2" s="1"/>
  <c r="M370" i="2" s="1"/>
  <c r="M55" i="2"/>
  <c r="M57" i="2"/>
  <c r="L55" i="2"/>
  <c r="L57" i="2" s="1"/>
  <c r="L60" i="2"/>
  <c r="L62" i="2" s="1"/>
  <c r="L64" i="2"/>
  <c r="L71" i="2"/>
  <c r="L120" i="2"/>
  <c r="L131" i="2"/>
  <c r="L159" i="2"/>
  <c r="L166" i="2"/>
  <c r="L167" i="2" s="1"/>
  <c r="L168" i="2"/>
  <c r="L199" i="2"/>
  <c r="L201" i="2"/>
  <c r="L207" i="2"/>
  <c r="L215" i="2" s="1"/>
  <c r="L221" i="2"/>
  <c r="L225" i="2"/>
  <c r="L230" i="2"/>
  <c r="L231" i="2"/>
  <c r="L232" i="2"/>
  <c r="L250" i="2"/>
  <c r="L251" i="2"/>
  <c r="M251" i="2"/>
  <c r="L257" i="2"/>
  <c r="L259" i="2"/>
  <c r="L262" i="2"/>
  <c r="L266" i="2"/>
  <c r="L313" i="2"/>
  <c r="L320" i="2"/>
  <c r="L322" i="2"/>
  <c r="L324" i="2"/>
  <c r="M26" i="2"/>
  <c r="L63" i="2"/>
  <c r="L70" i="2"/>
  <c r="L135" i="2"/>
  <c r="L219" i="2"/>
  <c r="L233" i="2"/>
  <c r="L242" i="2"/>
  <c r="L311" i="2"/>
  <c r="L362" i="2"/>
  <c r="L363" i="2"/>
  <c r="L364" i="2"/>
  <c r="L365" i="2"/>
  <c r="L366" i="2"/>
  <c r="L428" i="2"/>
  <c r="L460" i="2"/>
  <c r="L508" i="2"/>
  <c r="L512" i="2"/>
  <c r="M39" i="2"/>
  <c r="M41" i="2" s="1"/>
  <c r="L241" i="2"/>
  <c r="L390" i="2"/>
  <c r="L392" i="2" s="1"/>
  <c r="L397" i="2" s="1"/>
  <c r="L405" i="2"/>
  <c r="L408" i="2"/>
  <c r="L410" i="2"/>
  <c r="L424" i="2"/>
  <c r="L426" i="2" s="1"/>
  <c r="L427" i="2" s="1"/>
  <c r="L429" i="2"/>
  <c r="L441" i="2"/>
  <c r="L442" i="2"/>
  <c r="M461" i="2"/>
  <c r="M463" i="2" s="1"/>
  <c r="M465" i="2" s="1"/>
  <c r="L461" i="2"/>
  <c r="M473" i="2"/>
  <c r="M483" i="2" s="1"/>
  <c r="L473" i="2"/>
  <c r="L475" i="2" s="1"/>
  <c r="L487" i="2"/>
  <c r="L489" i="2"/>
  <c r="L500" i="2"/>
  <c r="L502" i="2" s="1"/>
  <c r="L513" i="2"/>
  <c r="L481" i="2"/>
  <c r="M317" i="2"/>
  <c r="M72" i="2"/>
  <c r="L127" i="2"/>
  <c r="M337" i="2"/>
  <c r="M348" i="2" s="1"/>
  <c r="M351" i="2" s="1"/>
  <c r="M353" i="2" s="1"/>
  <c r="M215" i="2"/>
  <c r="L465" i="2"/>
  <c r="M124" i="2" l="1"/>
  <c r="M127" i="2" s="1"/>
  <c r="L223" i="2"/>
  <c r="J155" i="2"/>
  <c r="K202" i="2"/>
  <c r="K317" i="2"/>
  <c r="K334" i="2"/>
  <c r="K397" i="2"/>
  <c r="L450" i="2"/>
  <c r="L412" i="2"/>
  <c r="L507" i="2"/>
  <c r="D117" i="5"/>
  <c r="K188" i="2"/>
  <c r="L506" i="2"/>
  <c r="C10" i="6"/>
  <c r="K353" i="2"/>
  <c r="K117" i="2"/>
  <c r="K193" i="2"/>
  <c r="D58" i="5"/>
  <c r="D114" i="5" s="1"/>
  <c r="N485" i="2"/>
  <c r="N494" i="2" s="1"/>
  <c r="L407" i="2"/>
  <c r="L315" i="2"/>
  <c r="L317" i="2" s="1"/>
  <c r="L170" i="2"/>
  <c r="M435" i="2"/>
  <c r="H485" i="2"/>
  <c r="H509" i="2" s="1"/>
  <c r="O450" i="2"/>
  <c r="M397" i="2"/>
  <c r="L456" i="2"/>
  <c r="K143" i="2"/>
  <c r="E61" i="4"/>
  <c r="Q485" i="2"/>
  <c r="K84" i="2"/>
  <c r="K105" i="2"/>
  <c r="K133" i="2"/>
  <c r="K155" i="2"/>
  <c r="K167" i="2"/>
  <c r="K213" i="2"/>
  <c r="K223" i="2"/>
  <c r="K237" i="2"/>
  <c r="K246" i="2"/>
  <c r="K255" i="2"/>
  <c r="K264" i="2"/>
  <c r="K299" i="2"/>
  <c r="K307" i="2"/>
  <c r="K328" i="2"/>
  <c r="K348" i="2"/>
  <c r="K376" i="2"/>
  <c r="K385" i="2"/>
  <c r="K407" i="2"/>
  <c r="K450" i="2"/>
  <c r="G435" i="2"/>
  <c r="G504" i="2" s="1"/>
  <c r="P416" i="2"/>
  <c r="P418" i="2" s="1"/>
  <c r="M475" i="2"/>
  <c r="G507" i="2"/>
  <c r="K507" i="2" s="1"/>
  <c r="I435" i="2"/>
  <c r="I504" i="2" s="1"/>
  <c r="P485" i="2"/>
  <c r="P494" i="2" s="1"/>
  <c r="M456" i="2"/>
  <c r="M469" i="2" s="1"/>
  <c r="M485" i="2" s="1"/>
  <c r="M494" i="2" s="1"/>
  <c r="L435" i="2"/>
  <c r="L236" i="2"/>
  <c r="L237" i="2" s="1"/>
  <c r="L124" i="2"/>
  <c r="L133" i="2" s="1"/>
  <c r="M167" i="2"/>
  <c r="G485" i="2"/>
  <c r="G509" i="2" s="1"/>
  <c r="K509" i="2" s="1"/>
  <c r="Q494" i="2"/>
  <c r="Q435" i="2"/>
  <c r="O435" i="2"/>
  <c r="E46" i="4"/>
  <c r="K506" i="2"/>
  <c r="M236" i="2"/>
  <c r="H494" i="2"/>
  <c r="E64" i="4" s="1"/>
  <c r="E66" i="4" s="1"/>
  <c r="G416" i="2"/>
  <c r="D36" i="4" s="1"/>
  <c r="D39" i="4" s="1"/>
  <c r="J353" i="2"/>
  <c r="F43" i="4"/>
  <c r="F46" i="4" s="1"/>
  <c r="I450" i="2"/>
  <c r="I416" i="2"/>
  <c r="F36" i="4" s="1"/>
  <c r="P450" i="2"/>
  <c r="N450" i="2"/>
  <c r="Q416" i="2"/>
  <c r="Q418" i="2" s="1"/>
  <c r="K57" i="2"/>
  <c r="K43" i="2"/>
  <c r="K62" i="2"/>
  <c r="K73" i="2"/>
  <c r="K280" i="2"/>
  <c r="L463" i="2"/>
  <c r="L202" i="2"/>
  <c r="M43" i="2"/>
  <c r="M368" i="2"/>
  <c r="H435" i="2"/>
  <c r="H504" i="2" s="1"/>
  <c r="J435" i="2"/>
  <c r="J504" i="2" s="1"/>
  <c r="C15" i="6" s="1"/>
  <c r="O494" i="2"/>
  <c r="Q450" i="2"/>
  <c r="N435" i="2"/>
  <c r="P435" i="2"/>
  <c r="N416" i="2"/>
  <c r="N418" i="2" s="1"/>
  <c r="K52" i="2"/>
  <c r="L72" i="2"/>
  <c r="L73" i="2" s="1"/>
  <c r="H450" i="2"/>
  <c r="D61" i="4"/>
  <c r="O416" i="2"/>
  <c r="O418" i="2" s="1"/>
  <c r="K78" i="2"/>
  <c r="K433" i="2"/>
  <c r="K435" i="2" s="1"/>
  <c r="D46" i="4"/>
  <c r="F33" i="4"/>
  <c r="G46" i="4"/>
  <c r="F61" i="4"/>
  <c r="M246" i="2"/>
  <c r="M253" i="2"/>
  <c r="M187" i="2"/>
  <c r="M188" i="2" s="1"/>
  <c r="M183" i="2"/>
  <c r="K183" i="2"/>
  <c r="L368" i="2"/>
  <c r="L376" i="2" s="1"/>
  <c r="L382" i="2" s="1"/>
  <c r="L385" i="2" s="1"/>
  <c r="L328" i="2"/>
  <c r="L337" i="2" s="1"/>
  <c r="L348" i="2" s="1"/>
  <c r="L351" i="2" s="1"/>
  <c r="L353" i="2" s="1"/>
  <c r="L264" i="2"/>
  <c r="L275" i="2" s="1"/>
  <c r="K510" i="2"/>
  <c r="L492" i="2"/>
  <c r="L246" i="2"/>
  <c r="L253" i="2"/>
  <c r="L255" i="2" s="1"/>
  <c r="L469" i="2"/>
  <c r="H416" i="2"/>
  <c r="L483" i="2"/>
  <c r="K502" i="2"/>
  <c r="I418" i="2"/>
  <c r="J167" i="2"/>
  <c r="L179" i="2"/>
  <c r="J78" i="2"/>
  <c r="J183" i="2"/>
  <c r="J450" i="2"/>
  <c r="J485" i="2"/>
  <c r="J509" i="2" s="1"/>
  <c r="L509" i="2" s="1"/>
  <c r="L511" i="2" s="1"/>
  <c r="I485" i="2"/>
  <c r="I509" i="2" s="1"/>
  <c r="K469" i="2"/>
  <c r="K485" i="2" s="1"/>
  <c r="K494" i="2" s="1"/>
  <c r="J502" i="2"/>
  <c r="C8" i="6" s="1"/>
  <c r="T37" i="2"/>
  <c r="G61" i="4"/>
  <c r="G503" i="2" l="1"/>
  <c r="G418" i="2"/>
  <c r="I503" i="2"/>
  <c r="I511" i="2" s="1"/>
  <c r="G494" i="2"/>
  <c r="D64" i="4" s="1"/>
  <c r="D66" i="4" s="1"/>
  <c r="L183" i="2"/>
  <c r="L416" i="2" s="1"/>
  <c r="L418" i="2" s="1"/>
  <c r="K504" i="2"/>
  <c r="L485" i="2"/>
  <c r="L494" i="2" s="1"/>
  <c r="K416" i="2"/>
  <c r="K418" i="2" s="1"/>
  <c r="F39" i="4"/>
  <c r="F48" i="4" s="1"/>
  <c r="M416" i="2"/>
  <c r="M418" i="2" s="1"/>
  <c r="J416" i="2"/>
  <c r="J503" i="2" s="1"/>
  <c r="J511" i="2" s="1"/>
  <c r="D48" i="4"/>
  <c r="G511" i="2"/>
  <c r="H503" i="2"/>
  <c r="H511" i="2" s="1"/>
  <c r="H418" i="2"/>
  <c r="E36" i="4"/>
  <c r="E39" i="4" s="1"/>
  <c r="E48" i="4" s="1"/>
  <c r="E68" i="4" s="1"/>
  <c r="J494" i="2"/>
  <c r="G64" i="4" s="1"/>
  <c r="G66" i="4" s="1"/>
  <c r="I494" i="2"/>
  <c r="F64" i="4" s="1"/>
  <c r="F66" i="4" s="1"/>
  <c r="D68" i="4" l="1"/>
  <c r="J418" i="2"/>
  <c r="G36" i="4"/>
  <c r="G39" i="4" s="1"/>
  <c r="G48" i="4" s="1"/>
  <c r="G68" i="4" s="1"/>
  <c r="G514" i="2"/>
  <c r="F68" i="4"/>
  <c r="K503" i="2"/>
  <c r="K511" i="2" s="1"/>
  <c r="D34" i="5" l="1"/>
  <c r="D46" i="5" s="1"/>
  <c r="C9" i="6"/>
  <c r="C12" i="6" s="1"/>
  <c r="C51" i="6" s="1"/>
  <c r="D36" i="5" l="1"/>
  <c r="D113" i="5" s="1"/>
  <c r="D11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Shermaine Shaw</author>
    <author>Vinnette Gayle</author>
  </authors>
  <commentList>
    <comment ref="J2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Shermaine Shaw:</t>
        </r>
        <r>
          <rPr>
            <sz val="9"/>
            <color indexed="81"/>
            <rFont val="Tahoma"/>
            <family val="2"/>
          </rPr>
          <t xml:space="preserve">
Estimate-$2,606,703,851.36</t>
        </r>
      </text>
    </comment>
    <comment ref="G28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Shermaine Shaw:</t>
        </r>
        <r>
          <rPr>
            <sz val="9"/>
            <color indexed="81"/>
            <rFont val="Tahoma"/>
            <family val="2"/>
          </rPr>
          <t xml:space="preserve">
Revised Estimate -$1,802,451.90</t>
        </r>
      </text>
    </comment>
    <comment ref="J311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Vinnette Gayle:</t>
        </r>
        <r>
          <rPr>
            <sz val="9"/>
            <color indexed="81"/>
            <rFont val="Tahoma"/>
            <family val="2"/>
          </rPr>
          <t xml:space="preserve">
Licensing Fee is classified as Tax Revenue and payable to TAJ
</t>
        </r>
      </text>
    </comment>
    <comment ref="J3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Shermaine Shaw:</t>
        </r>
        <r>
          <rPr>
            <sz val="9"/>
            <color indexed="81"/>
            <rFont val="Tahoma"/>
            <family val="2"/>
          </rPr>
          <t xml:space="preserve">
Include rent receipt form 18 tenants </t>
        </r>
      </text>
    </comment>
    <comment ref="H497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Vinnette Gayle:</t>
        </r>
        <r>
          <rPr>
            <sz val="9"/>
            <color indexed="81"/>
            <rFont val="Tahoma"/>
            <family val="2"/>
          </rPr>
          <t xml:space="preserve">
Yellow book</t>
        </r>
      </text>
    </comment>
  </commentList>
</comments>
</file>

<file path=xl/sharedStrings.xml><?xml version="1.0" encoding="utf-8"?>
<sst xmlns="http://schemas.openxmlformats.org/spreadsheetml/2006/main" count="1681" uniqueCount="681">
  <si>
    <t>DETAILS OF REVENUE AND LOAN RECEIPTS</t>
  </si>
  <si>
    <t xml:space="preserve"> </t>
  </si>
  <si>
    <t>Consolidated</t>
  </si>
  <si>
    <t>Estimates</t>
  </si>
  <si>
    <t>Increase (+) /</t>
  </si>
  <si>
    <t>Decrease (-)</t>
  </si>
  <si>
    <t>[(2)-(3)]</t>
  </si>
  <si>
    <t>J$</t>
  </si>
  <si>
    <t>I</t>
  </si>
  <si>
    <t>RECURRENT REVENUE</t>
  </si>
  <si>
    <t>Import Duties</t>
  </si>
  <si>
    <t>Warehouse Fees</t>
  </si>
  <si>
    <t>Tax on Interest/Dividend</t>
  </si>
  <si>
    <t>Customs Brokers</t>
  </si>
  <si>
    <t>Tourist Shop Licence</t>
  </si>
  <si>
    <t>Tourist Shop Operators Licence</t>
  </si>
  <si>
    <t>Hotel Licence Duty</t>
  </si>
  <si>
    <t>Other</t>
  </si>
  <si>
    <t>Minimum Business Tax</t>
  </si>
  <si>
    <t>TOTAL TAX REVENUE</t>
  </si>
  <si>
    <t>Sales of Stamps</t>
  </si>
  <si>
    <t xml:space="preserve">Postage, Prepayment </t>
  </si>
  <si>
    <t>Commission on Money Order and Postal Orders</t>
  </si>
  <si>
    <t>C.O.D. and Customs Clearance Fees on Parcels</t>
  </si>
  <si>
    <t>Shares of Postage on Parcels</t>
  </si>
  <si>
    <t>Rental of Property</t>
  </si>
  <si>
    <t>Rental of Letter Boxes and Bags</t>
  </si>
  <si>
    <t>Other Postal Business</t>
  </si>
  <si>
    <t xml:space="preserve">Commission fees from Jamaica National Small Business </t>
  </si>
  <si>
    <t>Commission Fees from Ministry of Labour and Social Security for handling Welfare Payments</t>
  </si>
  <si>
    <t>Interest Earned on Local Currency Bank Accounts</t>
  </si>
  <si>
    <t>Interest Earned on Loans and Advances to Public Officers</t>
  </si>
  <si>
    <t>Miscellaneous Receipts</t>
  </si>
  <si>
    <t>OFFICE OF THE SERVICES COMMISSIONS</t>
  </si>
  <si>
    <t>Processing Fees</t>
  </si>
  <si>
    <t>OFFICE OF THE PRIME MINISTER</t>
  </si>
  <si>
    <t xml:space="preserve">Miscellaneous Receipts </t>
  </si>
  <si>
    <t>OFFICE OF THE CABINET</t>
  </si>
  <si>
    <t>BOJ Profits</t>
  </si>
  <si>
    <t>Sale of Unserviceable Stores</t>
  </si>
  <si>
    <t>Sale of Gazettes</t>
  </si>
  <si>
    <t>Provident Fund</t>
  </si>
  <si>
    <t>Cash Seized and Forfeited</t>
  </si>
  <si>
    <t>ACCOUNTANT GENERAL'S DEPARTMENT</t>
  </si>
  <si>
    <t>Pension Contributions: Other Government Authorities for Seconded Officers</t>
  </si>
  <si>
    <t>Fees on Government Guaranteed Loans</t>
  </si>
  <si>
    <t>Recovery of Pension and Salary</t>
  </si>
  <si>
    <t>Chancery Fund Commission</t>
  </si>
  <si>
    <t>Executive Agency Investment Fund Management Fees</t>
  </si>
  <si>
    <t>Recovery of Prior Years' Expenditure</t>
  </si>
  <si>
    <t>Penalty Payments for Breaches of Customs Act and Regulations</t>
  </si>
  <si>
    <t>Net Service Charge for Shipping and Airline Carriers</t>
  </si>
  <si>
    <t>Standard and Compliance Fees</t>
  </si>
  <si>
    <t>Penalty for late and non-payment of sundry taxes and licences</t>
  </si>
  <si>
    <t>Penalty for Breaches of Spirit Licences</t>
  </si>
  <si>
    <t>Property Tax (2.5%)</t>
  </si>
  <si>
    <t>Road Maintenance Fund 2.5%</t>
  </si>
  <si>
    <t>Trade Licence 2.5%</t>
  </si>
  <si>
    <t>Net Service Charge for services rendered by Excise Officers</t>
  </si>
  <si>
    <t>POLICE DEPARTMENT</t>
  </si>
  <si>
    <t>Police Certificates</t>
  </si>
  <si>
    <t>Pension Contributions: Constabulary</t>
  </si>
  <si>
    <t>Pension Contributions: Special Constables</t>
  </si>
  <si>
    <t>Accident Report</t>
  </si>
  <si>
    <t>DEPARTMENT OF CORRECTIONAL SERVICES</t>
  </si>
  <si>
    <t>TOTAL - DEPARTMENT OF CORRECTIONAL SERVICES</t>
  </si>
  <si>
    <t>PASSPORT, IMMIGRATION AND CITIZENSHIP AGENCY</t>
  </si>
  <si>
    <t>MINISTRY OF JUSTICE</t>
  </si>
  <si>
    <t>Traffic Fines</t>
  </si>
  <si>
    <t xml:space="preserve">Other Court Fines </t>
  </si>
  <si>
    <t>Sale of Revised Laws of Jamaica to the Private Sector</t>
  </si>
  <si>
    <t>Forfeited  Recognizances (Funds)</t>
  </si>
  <si>
    <t>Sale of Marriage Licences</t>
  </si>
  <si>
    <t>ADMINISTRATOR GENERAL'S DEPARTMENT</t>
  </si>
  <si>
    <t>Charges for Administering Intestate Estate (50% of Gross Receipts)</t>
  </si>
  <si>
    <t>MINISTRY OF FOREIGN AFFAIRS AND FOREIGN TRADE</t>
  </si>
  <si>
    <t>Visa Fees from Overseas Missions</t>
  </si>
  <si>
    <t>Authentication fees</t>
  </si>
  <si>
    <t>Rush fees</t>
  </si>
  <si>
    <t>Consul fees</t>
  </si>
  <si>
    <t>Postage fees</t>
  </si>
  <si>
    <t>MINISTRY OF LABOUR AND SOCIAL SECURITY</t>
  </si>
  <si>
    <t>Reimbursement - NIS</t>
  </si>
  <si>
    <t>Fees - Factories Registration Act</t>
  </si>
  <si>
    <t>Fees - Employment  Agencies Registration Act</t>
  </si>
  <si>
    <t>Fees - Recruiting of Workers Act</t>
  </si>
  <si>
    <t>Work Permit</t>
  </si>
  <si>
    <t>Fees from Jamaica  School Certificate Examinations</t>
  </si>
  <si>
    <t>Rental of EDDC and other Buildings</t>
  </si>
  <si>
    <t>Repayment of  Bonds by Teachers</t>
  </si>
  <si>
    <t>Transcripts</t>
  </si>
  <si>
    <t>Recovery of Previous years Expenditure</t>
  </si>
  <si>
    <t>MINISTRY OF HEALTH</t>
  </si>
  <si>
    <t>Registration of  Pharmacies  and Pharmacists</t>
  </si>
  <si>
    <t>Registration of Drugs</t>
  </si>
  <si>
    <t>Parents Contribution toward Maintenance of Children in Children's Home</t>
  </si>
  <si>
    <t>Drug Permits</t>
  </si>
  <si>
    <t>GOVERNMENT CHEMIST</t>
  </si>
  <si>
    <t>Fees from Laboratory analyses</t>
  </si>
  <si>
    <t>Other Receipts from Agricultural Stations</t>
  </si>
  <si>
    <t>Receipts from sundry and other receipts</t>
  </si>
  <si>
    <t>TRADE BOARD</t>
  </si>
  <si>
    <t>Certification Fees</t>
  </si>
  <si>
    <t>Scrap Metal</t>
  </si>
  <si>
    <t>Car Dealers Registration</t>
  </si>
  <si>
    <t>Collateral Letter</t>
  </si>
  <si>
    <t>Letter of Transfer</t>
  </si>
  <si>
    <t xml:space="preserve">Food Protection , Inspection &amp; Deinfestation Division - Sundry Fees </t>
  </si>
  <si>
    <t xml:space="preserve">Amendment to Rules Fees  </t>
  </si>
  <si>
    <t>Registration Fees - Cooperative &amp; Friendly Society</t>
  </si>
  <si>
    <t>Registration of Special Resolution</t>
  </si>
  <si>
    <t xml:space="preserve">Arbitration </t>
  </si>
  <si>
    <t xml:space="preserve">Training </t>
  </si>
  <si>
    <t>Registration of change in office to include registration of Branch Office with IP Societies</t>
  </si>
  <si>
    <t>Annual Fees for IP Societies</t>
  </si>
  <si>
    <t>COMPANIES OFFICE OF JAMAICA</t>
  </si>
  <si>
    <t>Miscellaneous receipts</t>
  </si>
  <si>
    <t>JAMAICA INTELLECTUAL PROPERTY OFFICE</t>
  </si>
  <si>
    <t>Fees for Registration of Trademark</t>
  </si>
  <si>
    <t>Patent fees</t>
  </si>
  <si>
    <t>Design Fees</t>
  </si>
  <si>
    <t>Quarry Tax</t>
  </si>
  <si>
    <t>Receipts from issue of Sundry Permits</t>
  </si>
  <si>
    <t>Laboratory Analysis - Metallic Minerals</t>
  </si>
  <si>
    <t>SCIENTIFIC RESEARCH COUNCIL</t>
  </si>
  <si>
    <t>Information Services</t>
  </si>
  <si>
    <t>Process Development</t>
  </si>
  <si>
    <t>NATIONAL LAND AGENCY</t>
  </si>
  <si>
    <t>TOTAL NATIONAL LAND AGENCY</t>
  </si>
  <si>
    <t xml:space="preserve">Rents - Crown Lands and Other Government Properties </t>
  </si>
  <si>
    <t xml:space="preserve">Land Settlement Properties </t>
  </si>
  <si>
    <t>Rental of Land-Leased properties</t>
  </si>
  <si>
    <t>Crown Property Sales</t>
  </si>
  <si>
    <t>Attorney's Fee/ Photocopying</t>
  </si>
  <si>
    <t>Other Receipts</t>
  </si>
  <si>
    <t>FORESTRY DEPARTMENT</t>
  </si>
  <si>
    <t>Timber Sales</t>
  </si>
  <si>
    <t>Bluefield Guest House</t>
  </si>
  <si>
    <t xml:space="preserve">Miscellaneous  Receipts </t>
  </si>
  <si>
    <t>MINISTRY OF LOCAL GOVERNMENT AND COMMUNITY DEVELOPMENT</t>
  </si>
  <si>
    <t>Fire Inspection Fees</t>
  </si>
  <si>
    <t xml:space="preserve">Fire Certification &amp; Application </t>
  </si>
  <si>
    <t xml:space="preserve">Tender Document Fees </t>
  </si>
  <si>
    <t>Training of Safety Monitor &amp; Demonstration</t>
  </si>
  <si>
    <t>Repairs of Fire Hydrants</t>
  </si>
  <si>
    <t>Fines</t>
  </si>
  <si>
    <t>6% Pension Contribution - Councillors</t>
  </si>
  <si>
    <t>II</t>
  </si>
  <si>
    <t xml:space="preserve">Miscellaneous </t>
  </si>
  <si>
    <t>Grants from the European Union</t>
  </si>
  <si>
    <t xml:space="preserve">Other Grants </t>
  </si>
  <si>
    <t>Proceeds from Divestment</t>
  </si>
  <si>
    <t xml:space="preserve">TOTAL CAPITAL REVENUE </t>
  </si>
  <si>
    <t>III</t>
  </si>
  <si>
    <t>TRANSFERS FROM CAPITAL DEVELOPMENT FUND</t>
  </si>
  <si>
    <t>Transfers in lieu of Income Tax from Alumina Producers</t>
  </si>
  <si>
    <t>IV</t>
  </si>
  <si>
    <t>LOAN RECEIPTS</t>
  </si>
  <si>
    <t>EXTERNAL LOANS</t>
  </si>
  <si>
    <t>Multilateral</t>
  </si>
  <si>
    <t>Loans to be raised under Act 39 of 1964</t>
  </si>
  <si>
    <t xml:space="preserve"> World Bank Loans</t>
  </si>
  <si>
    <t xml:space="preserve">Inter-American Development Bank </t>
  </si>
  <si>
    <t>USAID</t>
  </si>
  <si>
    <t>Caribbean Development Bank</t>
  </si>
  <si>
    <t>European Union</t>
  </si>
  <si>
    <t>World Bank/IDB</t>
  </si>
  <si>
    <t>IFID</t>
  </si>
  <si>
    <t>OECF/USAID</t>
  </si>
  <si>
    <t>OPEC</t>
  </si>
  <si>
    <t>OECF</t>
  </si>
  <si>
    <t>IMF</t>
  </si>
  <si>
    <t>Government of China</t>
  </si>
  <si>
    <t>Government of Germany</t>
  </si>
  <si>
    <t>JBIC</t>
  </si>
  <si>
    <t>Kuwait</t>
  </si>
  <si>
    <t>Saudi</t>
  </si>
  <si>
    <t>PL480</t>
  </si>
  <si>
    <t>Other Loans</t>
  </si>
  <si>
    <t>Capital Market</t>
  </si>
  <si>
    <t>DOMESTIC LOANS</t>
  </si>
  <si>
    <t>Local Commercial Banking Sector</t>
  </si>
  <si>
    <t>Benchmark Notes &amp; Treasury Bills</t>
  </si>
  <si>
    <t>Indexed Bonds &amp; US$ Loans</t>
  </si>
  <si>
    <t>TOTAL LOAN RECEIPTS</t>
  </si>
  <si>
    <t>SUMMARY</t>
  </si>
  <si>
    <t>Capital Revenue</t>
  </si>
  <si>
    <t>TOTAL</t>
  </si>
  <si>
    <t>The Consolidated Fund Receipts are subject to change</t>
  </si>
  <si>
    <t>Checked By:</t>
  </si>
  <si>
    <t>Date</t>
  </si>
  <si>
    <t>Passenger Levy</t>
  </si>
  <si>
    <t>Miscelleanous Receipts</t>
  </si>
  <si>
    <t>Sale of Services- CRDC</t>
  </si>
  <si>
    <t>Increase(+) /</t>
  </si>
  <si>
    <t>Passport Immigration &amp; Citizenship Agency Fee 0.5%</t>
  </si>
  <si>
    <t>Island Traffic Authority 20%</t>
  </si>
  <si>
    <t>000</t>
  </si>
  <si>
    <t>04000</t>
  </si>
  <si>
    <t>Contractor's Registration Fees</t>
  </si>
  <si>
    <t>05000</t>
  </si>
  <si>
    <t>06</t>
  </si>
  <si>
    <t>Miscelleanous Fees</t>
  </si>
  <si>
    <t>15000</t>
  </si>
  <si>
    <t>07</t>
  </si>
  <si>
    <t>Audit Fees</t>
  </si>
  <si>
    <t>Registration  and ID Card Service</t>
  </si>
  <si>
    <t>20000</t>
  </si>
  <si>
    <t>03</t>
  </si>
  <si>
    <t>01</t>
  </si>
  <si>
    <t>05</t>
  </si>
  <si>
    <t>99</t>
  </si>
  <si>
    <t>Fees-FIA Licence Registration</t>
  </si>
  <si>
    <t>Fees-Building Societies</t>
  </si>
  <si>
    <t>Sale of Forfeited Goods-FID</t>
  </si>
  <si>
    <t>Forfeiture of Loan Agreement (MDB)</t>
  </si>
  <si>
    <t>02</t>
  </si>
  <si>
    <t>Interest on On Lent Loans</t>
  </si>
  <si>
    <t>Interest on Government Deposits(MDA)</t>
  </si>
  <si>
    <t>Pension Contribution:Members of the Legislature</t>
  </si>
  <si>
    <t>Sale of Receipt Books</t>
  </si>
  <si>
    <t>Processing Fees- Salary Deduction</t>
  </si>
  <si>
    <t>04</t>
  </si>
  <si>
    <t>Receipts from Sale of Seized Items</t>
  </si>
  <si>
    <t>Customs User/ Administration Fee</t>
  </si>
  <si>
    <t>Irrevocable Standing Orders</t>
  </si>
  <si>
    <t>15</t>
  </si>
  <si>
    <t>08</t>
  </si>
  <si>
    <t>Special Consumption Tax 2.5%</t>
  </si>
  <si>
    <t>Firearm Licensing Authority User Fees</t>
  </si>
  <si>
    <t xml:space="preserve">Rental of Lettings (Land and Buildings) Soldier's Contribution </t>
  </si>
  <si>
    <t>Soldiers' Contribution to various services</t>
  </si>
  <si>
    <t>09</t>
  </si>
  <si>
    <t>Sundry Fines and Contribution</t>
  </si>
  <si>
    <t>Agricultural Land Management Division</t>
  </si>
  <si>
    <t>Fees- Electric Lighting Act</t>
  </si>
  <si>
    <t>Tender Documents</t>
  </si>
  <si>
    <t>On and Off Trailer Plates</t>
  </si>
  <si>
    <t>Royalties-Bauxite</t>
  </si>
  <si>
    <t>REVENUE ITEM DESCRIPTION</t>
  </si>
  <si>
    <t>CO</t>
  </si>
  <si>
    <t>S1</t>
  </si>
  <si>
    <t>S2</t>
  </si>
  <si>
    <t>50</t>
  </si>
  <si>
    <t>Income Tax-Companies</t>
  </si>
  <si>
    <t>Stamp Duties</t>
  </si>
  <si>
    <t>Gaming Machines</t>
  </si>
  <si>
    <t>Other Licences</t>
  </si>
  <si>
    <t>Travel Tax</t>
  </si>
  <si>
    <t>Betting, Gaming and Lotteries-Duties, Fees and Levies</t>
  </si>
  <si>
    <t>Education Tax</t>
  </si>
  <si>
    <t>Telephone Call Tax</t>
  </si>
  <si>
    <t>Import Licences-Trade Board</t>
  </si>
  <si>
    <t>Telecommunication Licences</t>
  </si>
  <si>
    <t>Contractors Levy</t>
  </si>
  <si>
    <t>('2)</t>
  </si>
  <si>
    <t>Irrevocable Order</t>
  </si>
  <si>
    <t>Rental Charges</t>
  </si>
  <si>
    <t>001</t>
  </si>
  <si>
    <t>Product Research and Development</t>
  </si>
  <si>
    <t>Promotion and Distribution of Products</t>
  </si>
  <si>
    <t>TOTAL- AUDITOR GENERAL'S DEPARTMENT</t>
  </si>
  <si>
    <t>AUDITOR GENERAL'S DEPARTMENT</t>
  </si>
  <si>
    <t>TOTAL-OFFICE OF THE SERVICES COMMISSIONS</t>
  </si>
  <si>
    <t>TOTAL-OFFICE OF THE PRIME MINISTER</t>
  </si>
  <si>
    <t>ELECTORAL COMMISSION</t>
  </si>
  <si>
    <t>TOTAL- ELECTORAL COMMISSION</t>
  </si>
  <si>
    <t>MINISTRY OF TOURISM</t>
  </si>
  <si>
    <t>TOTAL- OFFICE OF THE CABINET</t>
  </si>
  <si>
    <t>TOTAL- MINISTRY OF TOURISM</t>
  </si>
  <si>
    <t>TOTAL- ACCOUNTANT GENERAL'S DEPARTMENT</t>
  </si>
  <si>
    <t>JAMAICA CUSTOMS AGENCY</t>
  </si>
  <si>
    <t>TOTAL- JAMAICA CUSTOMS AGENCY</t>
  </si>
  <si>
    <t>TAX ADMINISTRATION OF JAMAICA</t>
  </si>
  <si>
    <t>TOTAL-TAX ADMINISTRATION OF JAMAICA</t>
  </si>
  <si>
    <t>MINISTRY OF NATIONAL SECURITY</t>
  </si>
  <si>
    <t>JAMAICA DEFENCE FORCE</t>
  </si>
  <si>
    <t>TOTAL- MINISTRY OF NATIONAL SECURITY</t>
  </si>
  <si>
    <t>TOTAL-JAMAICA DEFENCE FORCE</t>
  </si>
  <si>
    <t>TOTAL-POLICE DEPARTMENT</t>
  </si>
  <si>
    <t>TOTAL- MINISTRY OF JUSTICE</t>
  </si>
  <si>
    <t>TOTAL- MINISTRY OF FOREIGN AFFAIRS AND FOREIGN TRADE</t>
  </si>
  <si>
    <t>TOTAL-MINISTRY OF LABOUR AND SOCIAL SECURITY</t>
  </si>
  <si>
    <t>MINISTRY OF EDUCATION, YOUTH AND CULTURE</t>
  </si>
  <si>
    <t>TOTAL- MINISTRY OF EDUCATION, YOUTH AND CULTURE</t>
  </si>
  <si>
    <t>TOTAL-GOVERNMENT CHEMIST</t>
  </si>
  <si>
    <t>TOTAL- MINISTRY OF HEALTH</t>
  </si>
  <si>
    <t>DEPARTMENT OF COOPERATIVE AND FRIENDLY SOCIETIES</t>
  </si>
  <si>
    <t>TOTAL-MINISTRY OF CULTURE, GENDER, ENTERTAINMENT AND SPORTS</t>
  </si>
  <si>
    <t>MINISTRY OF CULTURE, GENDER, ENTERTAINMENT AND SPORTS</t>
  </si>
  <si>
    <t>MINISTRY OF INDUSTRY COMMERCE AGRICULTURE AND FISHERIES</t>
  </si>
  <si>
    <t>TOTAL- MINISTRY OF INDUSTRY COMMERCE AGRICULTURE AND FISHERIES</t>
  </si>
  <si>
    <t>TOTAL - FOOD STORAGE AND  PREVENTION OF INVESTATION DIVISION</t>
  </si>
  <si>
    <t>TOTAL- TRADE BOARD</t>
  </si>
  <si>
    <t>TOTAL- DEPARTMENT OF COOPERATIVE AND FRIENDLY SOCIETIES</t>
  </si>
  <si>
    <t>TOTAL- JAMAICA INTELLECTUAL PROPERTY OFFICE</t>
  </si>
  <si>
    <t>POST AND TELECOMMUNICATION DEPARTMENT</t>
  </si>
  <si>
    <t>TOTAL- SCIENTIFIC RESEARCH COUNCIL</t>
  </si>
  <si>
    <t>TOTAL- POST AND TELECOMMUNICATION DEPARTMENT</t>
  </si>
  <si>
    <t>MINISTRY OF SCIENCE ENERGY TECHNOLOGY AND TELECOMMUNICATION</t>
  </si>
  <si>
    <t>TOTAL-MINISTRY OF SCIENCE ENERGY TECHNOLOGY AND TELECOMMUNICATION</t>
  </si>
  <si>
    <t>MINISTRY OF TRANSPORT AND WORKS</t>
  </si>
  <si>
    <t>TOTAL- MINISTRY OF TRANSPORT AND WORKS</t>
  </si>
  <si>
    <t>MINES AND GEOLOGY</t>
  </si>
  <si>
    <t>TOTAL- MINES AND GEOLOGY</t>
  </si>
  <si>
    <t>TOTAL- MINISTRY OF FINANCE AND THE PUBLIC SERVICE</t>
  </si>
  <si>
    <t>Sale of Seedings</t>
  </si>
  <si>
    <t>12</t>
  </si>
  <si>
    <t>TOTAL-FORESTRY DEPARTMENT</t>
  </si>
  <si>
    <t>JAMAICA FIRE BRIGADE</t>
  </si>
  <si>
    <t>TOTAL NON TAX REVENUE</t>
  </si>
  <si>
    <t>TOTAL- MINISTRY OF LOCAL GOVERNMENT AND COMMUNITY DEVELOPMENT</t>
  </si>
  <si>
    <t>TOTAL- JAMAICA FIRE BRIGADE</t>
  </si>
  <si>
    <t>CAPITAL REVENUE</t>
  </si>
  <si>
    <t>Royalties-Limestone</t>
  </si>
  <si>
    <t>Royalties-Marble</t>
  </si>
  <si>
    <t>LAND SALES</t>
  </si>
  <si>
    <t>LOAN REPAYMENTS</t>
  </si>
  <si>
    <t>EXTRAORDINARY RECEIPTS</t>
  </si>
  <si>
    <t>TOTAL CAPITAL REVENUE</t>
  </si>
  <si>
    <t>TOTAL-LAND SALES</t>
  </si>
  <si>
    <t>TOTAL LOAN REPAYMENTS</t>
  </si>
  <si>
    <t>TOTAL-EXTRAORDINARY RECEIPTS</t>
  </si>
  <si>
    <t>TRANSFER FROM CAPITAL DEVELOPMENT FUND</t>
  </si>
  <si>
    <t>MINISTRY OF FINANCE AND THE PUBLIC SERVICE</t>
  </si>
  <si>
    <t>Profits in Government owned companies-Dividends and Financial Distribution</t>
  </si>
  <si>
    <t>Fees-Scotia Bank Jamaica Economic Growth Fund</t>
  </si>
  <si>
    <t>National Health Fund(NHF 2.5%)</t>
  </si>
  <si>
    <t xml:space="preserve">FOOD PROTECTION,INSPECTION AND DEINFESTATION DIVISION </t>
  </si>
  <si>
    <t>TOTAL- COMPANIES OFFICE OF JAMAICA</t>
  </si>
  <si>
    <t>OFFICE OF THE GOVERNMENT TRUSTEE</t>
  </si>
  <si>
    <t xml:space="preserve"> Commission on Dividend Payment</t>
  </si>
  <si>
    <t>Legal fees and charges against the Bankruptcy</t>
  </si>
  <si>
    <t>Trustee Application Fee</t>
  </si>
  <si>
    <t>Trustee Licence Fee</t>
  </si>
  <si>
    <t>Trustee License Renewal</t>
  </si>
  <si>
    <t>TOTAL- OFFICE OF THE GOVERNMENT TRUSTEE</t>
  </si>
  <si>
    <t>OFFICE OF THE SUPERVISOR OF INSOLVENCY</t>
  </si>
  <si>
    <t>TOTAL-OFFICE OF THE SUPERVISOR OF INSOLVENCY</t>
  </si>
  <si>
    <t>Commission on the sale of Ministry of Water &amp; Housing Water Tank and Water Coupons</t>
  </si>
  <si>
    <t>Search Fees</t>
  </si>
  <si>
    <t>Trade Mark Journal</t>
  </si>
  <si>
    <t>Trade Mark Publication</t>
  </si>
  <si>
    <t>Bona Vacantia and Unclaimed Balances</t>
  </si>
  <si>
    <t>General Consumption Tax</t>
  </si>
  <si>
    <t>Special Consumption Tax</t>
  </si>
  <si>
    <t>Environmental Levy</t>
  </si>
  <si>
    <t>Interest Earned on Foreign Currency Bank Accounts</t>
  </si>
  <si>
    <t>Permission to Host events</t>
  </si>
  <si>
    <t>10</t>
  </si>
  <si>
    <t>Income Tax- Individuals</t>
  </si>
  <si>
    <t>Motor Vehicle Licences (Motor Vehicle Act)</t>
  </si>
  <si>
    <t>Guest Accomodation Room Tax</t>
  </si>
  <si>
    <t>MINISTRY OF ECONOMIC GROWTH AND JOB CREATION</t>
  </si>
  <si>
    <t>TOTAL- MINISTRY OF ECONOMIC GROWTH AND JOB CREATION</t>
  </si>
  <si>
    <t>TOTAL- ADMINISTRATOR GENERAL'S DEPARTMENT</t>
  </si>
  <si>
    <t xml:space="preserve"> Police User Fees</t>
  </si>
  <si>
    <t>Transfer to Current Account</t>
  </si>
  <si>
    <t>Others</t>
  </si>
  <si>
    <t>Bilateral</t>
  </si>
  <si>
    <t>TOTAL- DOMESTIC LOANS</t>
  </si>
  <si>
    <t>STATEMENT II</t>
  </si>
  <si>
    <t>STATEMENT I</t>
  </si>
  <si>
    <t>$</t>
  </si>
  <si>
    <t>Taxation Revenue</t>
  </si>
  <si>
    <t>Non-Tax Revenue</t>
  </si>
  <si>
    <t>Royalties</t>
  </si>
  <si>
    <t>Land Sales</t>
  </si>
  <si>
    <t>Extraordinary Receipts</t>
  </si>
  <si>
    <t xml:space="preserve"> REVENUE AND LOAN RECEIPTS</t>
  </si>
  <si>
    <t xml:space="preserve"> SUMMARY</t>
  </si>
  <si>
    <t>Head</t>
  </si>
  <si>
    <t>TAXATION</t>
  </si>
  <si>
    <t>NON-TAX REVENUE</t>
  </si>
  <si>
    <t xml:space="preserve">TOTAL RECURRENT REVENUE </t>
  </si>
  <si>
    <t xml:space="preserve">TOTAL RECURRENT AND CAPITAL REVENUE </t>
  </si>
  <si>
    <t xml:space="preserve">TOTAL REVENUE AND LOAN RECEIPTS  </t>
  </si>
  <si>
    <t>STATEMENT III</t>
  </si>
  <si>
    <t>$'000</t>
  </si>
  <si>
    <t>Estimates,</t>
  </si>
  <si>
    <t>Customs</t>
  </si>
  <si>
    <t>His Excellency the Governor-General and Staff</t>
  </si>
  <si>
    <t>Houses of Parliament</t>
  </si>
  <si>
    <t>Office of the Public Defender</t>
  </si>
  <si>
    <t>Income Tax</t>
  </si>
  <si>
    <t>Auditor General</t>
  </si>
  <si>
    <t>Office of the Services Commissions</t>
  </si>
  <si>
    <t>Motor Vehicle Licences</t>
  </si>
  <si>
    <t>Office of the Children's Advocate</t>
  </si>
  <si>
    <t>Independent Commission of Investigations</t>
  </si>
  <si>
    <t>Office of the Prime Minister</t>
  </si>
  <si>
    <t>Betting, Gaming and Lotteries - Duty, Fees, Levies</t>
  </si>
  <si>
    <t>Office of the Cabinet</t>
  </si>
  <si>
    <t>Ministry of National Security</t>
  </si>
  <si>
    <t>Ministry of Justice</t>
  </si>
  <si>
    <t>Subtotal Taxation</t>
  </si>
  <si>
    <t>Ministry of Foreign Affairs and Foreign Trade</t>
  </si>
  <si>
    <t>Ministry of Labour and Social Security</t>
  </si>
  <si>
    <t>Ministry of Agriculture and Fisheries</t>
  </si>
  <si>
    <t>Ministry of Industry, Investment and Commerce</t>
  </si>
  <si>
    <t>Subtotal Non-Tax Revenue</t>
  </si>
  <si>
    <t>Less Appropriations-In-Aid</t>
  </si>
  <si>
    <t>Total Recurrent Revenue</t>
  </si>
  <si>
    <t>Loan Repayments</t>
  </si>
  <si>
    <t>Subtotal Capital Revenue</t>
  </si>
  <si>
    <t>External Loans</t>
  </si>
  <si>
    <t>(A)  Multilateral</t>
  </si>
  <si>
    <t>Total Multilateral</t>
  </si>
  <si>
    <t>Total Bilateral</t>
  </si>
  <si>
    <t>Total External Loans</t>
  </si>
  <si>
    <t>Domestic Loans</t>
  </si>
  <si>
    <t>Total Domestic Loans</t>
  </si>
  <si>
    <t>Total External and Domestic Loans</t>
  </si>
  <si>
    <t>Tax and Non Tax Revenue</t>
  </si>
  <si>
    <t>Recurrent Estimates</t>
  </si>
  <si>
    <t>Capital Estimates</t>
  </si>
  <si>
    <t>Transfer from the Capital Development Fund</t>
  </si>
  <si>
    <t>Loan Funds (Raised and to be raised)</t>
  </si>
  <si>
    <t>Total Receipts</t>
  </si>
  <si>
    <t>STATEMENT IV</t>
  </si>
  <si>
    <t>Consolidated Fund Charges</t>
  </si>
  <si>
    <t>Voted Expenditure</t>
  </si>
  <si>
    <t>Current Account Surplus</t>
  </si>
  <si>
    <t>Loan Funds</t>
  </si>
  <si>
    <t>(A) External Loans</t>
  </si>
  <si>
    <t xml:space="preserve">     (i)   Multilateral</t>
  </si>
  <si>
    <t xml:space="preserve">     (ii)  Bilateral</t>
  </si>
  <si>
    <t xml:space="preserve">     (iii) Other</t>
  </si>
  <si>
    <t>(B) Domestic  Loans</t>
  </si>
  <si>
    <t>Motor Vehicle Licences(Motor Vehicle Act)</t>
  </si>
  <si>
    <t xml:space="preserve"> Land Sales</t>
  </si>
  <si>
    <t xml:space="preserve"> Loan Repayments</t>
  </si>
  <si>
    <t>('3)</t>
  </si>
  <si>
    <t>TOTAL RECURRENT REVENUE</t>
  </si>
  <si>
    <t>TAX REVENUE</t>
  </si>
  <si>
    <t>IBRD</t>
  </si>
  <si>
    <t>('1)</t>
  </si>
  <si>
    <t>BUDGET</t>
  </si>
  <si>
    <t>GRANTS</t>
  </si>
  <si>
    <t>Total Multilateral Loans</t>
  </si>
  <si>
    <t>Total Bilateral Loans</t>
  </si>
  <si>
    <t>TOTAL LOANS</t>
  </si>
  <si>
    <t>Increase(+)/</t>
  </si>
  <si>
    <t>Decrease(-)</t>
  </si>
  <si>
    <t>LOANS</t>
  </si>
  <si>
    <t xml:space="preserve">        Tax Revenue</t>
  </si>
  <si>
    <t xml:space="preserve">         Non Tax Revenue</t>
  </si>
  <si>
    <t xml:space="preserve">         Transfer from Capital Development Fund</t>
  </si>
  <si>
    <t xml:space="preserve">          External Grants</t>
  </si>
  <si>
    <t xml:space="preserve">        External Loans</t>
  </si>
  <si>
    <t xml:space="preserve">        Domestic Loans</t>
  </si>
  <si>
    <t>Fees- Banking Licence Registration (1973) - Commercial Banks</t>
  </si>
  <si>
    <t>Other Grants</t>
  </si>
  <si>
    <t>Miscelleanous</t>
  </si>
  <si>
    <t>TOTAL- PASSPORT, IMMIGRATION AND CITIZENSHIP AGENCY</t>
  </si>
  <si>
    <t>TOTAL-EXTERNAL LOANS</t>
  </si>
  <si>
    <t>[(1)-(3)]</t>
  </si>
  <si>
    <t>TOTAL- TRANSFER TO CAPITAL ACCOUNT</t>
  </si>
  <si>
    <t>EXTERNAL GRANTS</t>
  </si>
  <si>
    <t>Miscelleanous Grants</t>
  </si>
  <si>
    <t>TOTAL EXTERNAL GRANTS</t>
  </si>
  <si>
    <t>TOTAL GRANTS</t>
  </si>
  <si>
    <t xml:space="preserve">Extraordinary Receipts: Miscelleanous </t>
  </si>
  <si>
    <t>(I)</t>
  </si>
  <si>
    <t>(II)</t>
  </si>
  <si>
    <t>Miscellaneous Grants</t>
  </si>
  <si>
    <t>V</t>
  </si>
  <si>
    <t>Loan receipts</t>
  </si>
  <si>
    <t xml:space="preserve">Budget </t>
  </si>
  <si>
    <t>Fund Receipts</t>
  </si>
  <si>
    <t>('4)</t>
  </si>
  <si>
    <t>SUBTOTAL NON TAX REVENUE</t>
  </si>
  <si>
    <t>(D) Benchmark Notes &amp; Treasury Bills</t>
  </si>
  <si>
    <t>(E) Other</t>
  </si>
  <si>
    <t>]</t>
  </si>
  <si>
    <t>Geographical Indication Registration</t>
  </si>
  <si>
    <t>Copyright-GDA Registration</t>
  </si>
  <si>
    <t>Madrid Treaty Registration</t>
  </si>
  <si>
    <t>Patent Corporation Treaty Registration</t>
  </si>
  <si>
    <t>Extraordinary Receipts: Miscelleanous</t>
  </si>
  <si>
    <t>Subt Total Capital Revenue</t>
  </si>
  <si>
    <t>(B) Bilateral</t>
  </si>
  <si>
    <t>(C ) Capital Market</t>
  </si>
  <si>
    <t>Total Domestic Loan</t>
  </si>
  <si>
    <t xml:space="preserve">Total External and Domestic Loans </t>
  </si>
  <si>
    <t>Transfer from Capital Development Fund</t>
  </si>
  <si>
    <t xml:space="preserve">Loan Funds ( Raised and to be Raised) </t>
  </si>
  <si>
    <t>NATIONAL ENVIRONMENT AND PLANNING AGENCY</t>
  </si>
  <si>
    <t>Beach and Dredging Licences</t>
  </si>
  <si>
    <t>Environment Permits and Licences Hunters Licences</t>
  </si>
  <si>
    <t>Air Quality Licence</t>
  </si>
  <si>
    <t>Lifeguard</t>
  </si>
  <si>
    <t>CITES</t>
  </si>
  <si>
    <t>Hazardous Waste</t>
  </si>
  <si>
    <t>Wastewater and Sludge</t>
  </si>
  <si>
    <t>Other Fees</t>
  </si>
  <si>
    <t>Hunters Licences</t>
  </si>
  <si>
    <t>TOTAL NATIONAL ENVIRONMENT AND PLANNING AGENCY</t>
  </si>
  <si>
    <t>Passport Services</t>
  </si>
  <si>
    <t>Citizenship Services</t>
  </si>
  <si>
    <t>Immigration Services</t>
  </si>
  <si>
    <t>Blasting Inspections</t>
  </si>
  <si>
    <t>Application for Export Permits</t>
  </si>
  <si>
    <t>HIS EXCELLENCY THE GOVERNOR GENERAL AND STAFF</t>
  </si>
  <si>
    <t>01000</t>
  </si>
  <si>
    <t>TOTAL- HIS EXCELLENCY THE GOVERNOR GENERAL AND STAFF</t>
  </si>
  <si>
    <t>Advisory Panel on Ethics ( Research Proposal)</t>
  </si>
  <si>
    <t>Fees for Registration of Business Names (50% Surplus to Consolidated Fund)</t>
  </si>
  <si>
    <t>Fees for Registration of Companies (50% of Surplus to Consolidated Fund)</t>
  </si>
  <si>
    <t>06000</t>
  </si>
  <si>
    <t>MISCELEANOUS RECEIPTS (UNCLASSIFIED)</t>
  </si>
  <si>
    <t>MISCELLEANOUS RECEIPTS (UNCLASSIFIED)</t>
  </si>
  <si>
    <t>De- earmarked Funds - TEF/ CHASE</t>
  </si>
  <si>
    <t>De- earmarked - Civil Aviation Authority</t>
  </si>
  <si>
    <t>2019/2020</t>
  </si>
  <si>
    <t>Stamp Duties (local)</t>
  </si>
  <si>
    <t>Stamp Duties (import)</t>
  </si>
  <si>
    <t>Account</t>
  </si>
  <si>
    <t>Registration of Jamaica Investment Capital Growth Funds</t>
  </si>
  <si>
    <t>Library Publication</t>
  </si>
  <si>
    <t>Other Receipts (Including Crown Property Sales)</t>
  </si>
  <si>
    <t>Express Mail</t>
  </si>
  <si>
    <t>2020/2021</t>
  </si>
  <si>
    <t>total estimates for 20/21,  of 17,540,687,676.95 includes AIA of 13,132,520,532</t>
  </si>
  <si>
    <t xml:space="preserve"> Dealers Registration / Licensing Fees</t>
  </si>
  <si>
    <t>Insolvency Status Verification</t>
  </si>
  <si>
    <t>Licencing Fee is classified as Tax revenue and payable to TAJ</t>
  </si>
  <si>
    <t>Terminal Dues / Postal Administrations and Airlines</t>
  </si>
  <si>
    <t>Miscellaneous Receipts (50% of Profit)</t>
  </si>
  <si>
    <t>Assurance Fund (100% of Gross Receipts)</t>
  </si>
  <si>
    <t>776,616,000 includes 461,000,00 for police user fees</t>
  </si>
  <si>
    <t xml:space="preserve">  </t>
  </si>
  <si>
    <t>2021/2022</t>
  </si>
  <si>
    <t>('5)</t>
  </si>
  <si>
    <t>2022/2023</t>
  </si>
  <si>
    <t>('6)</t>
  </si>
  <si>
    <t>2023/2024</t>
  </si>
  <si>
    <t>('7)</t>
  </si>
  <si>
    <t>2021/2022 JAMAICA BUDGET</t>
  </si>
  <si>
    <t xml:space="preserve"> 2020/2021</t>
  </si>
  <si>
    <t>2024/2025</t>
  </si>
  <si>
    <t>2021-2022 JAMAICA BUDGET</t>
  </si>
  <si>
    <t>Summary of Revenue Estimates and Estimates of Expenditure for the Year 2021-2022</t>
  </si>
  <si>
    <t>Statement of the Financing of the  Estimates of Expenditure for the Year 2021-2022</t>
  </si>
  <si>
    <t>PDCF Interest -Global Bonds  Interest</t>
  </si>
  <si>
    <t>PDCF Interest - Local Investments JUTC Interest</t>
  </si>
  <si>
    <t>Processing 5% PAJ</t>
  </si>
  <si>
    <t>MINISTRY OF AGRICULTURE AND FISHERIES</t>
  </si>
  <si>
    <t>TOTAL- MINISTRY OF AGRICULTURE AND FISHERIES</t>
  </si>
  <si>
    <t xml:space="preserve">MINISTRY OF INDUSTRY AND COMMERCE </t>
  </si>
  <si>
    <t xml:space="preserve">TOTAL- MINISTRY OF INDUSTRY AND COMMERCE </t>
  </si>
  <si>
    <t>PCDF Other Inflow</t>
  </si>
  <si>
    <t>Estimates received but as Executive Agency on % of profits</t>
  </si>
  <si>
    <t>[(4)-(2)]</t>
  </si>
  <si>
    <t>Other Receipt</t>
  </si>
  <si>
    <t xml:space="preserve">                           </t>
  </si>
  <si>
    <t>Pension Contributions: 4 % Contribution Scheme</t>
  </si>
  <si>
    <t xml:space="preserve"> (December 2020)</t>
  </si>
  <si>
    <t xml:space="preserve"> (as at Dec-20)</t>
  </si>
  <si>
    <t>Finger Print Search</t>
  </si>
  <si>
    <t>INTEGRITY COMMISSION OF JAMAICA</t>
  </si>
  <si>
    <t>TOTAL- INTEGRITY COMMISSION OF JAMAICA</t>
  </si>
  <si>
    <t>RECURRENT</t>
  </si>
  <si>
    <t>EXPENDITURE</t>
  </si>
  <si>
    <t>REVENUE</t>
  </si>
  <si>
    <t>RECURRENT EXPENDITURE</t>
  </si>
  <si>
    <t>GROSS TOTOTAL</t>
  </si>
  <si>
    <t>TOTAL RECURRENT EXPENDITURE</t>
  </si>
  <si>
    <t>CAPITAL</t>
  </si>
  <si>
    <t>Ministry of Local Government and Rural Development</t>
  </si>
  <si>
    <t>Ministry of Health and Wellness</t>
  </si>
  <si>
    <t>Ministry of Education, Youth and Education</t>
  </si>
  <si>
    <t>Integrity Commission</t>
  </si>
  <si>
    <t>Ministry of Tourism</t>
  </si>
  <si>
    <t>Ministry of Finance and Public Service</t>
  </si>
  <si>
    <t>Ministry of  Culture, Gender, Entertainment and Sport</t>
  </si>
  <si>
    <t>Ministry of Science, Energy and Technology</t>
  </si>
  <si>
    <t>CAPITAL EXPENDITURE</t>
  </si>
  <si>
    <t>TOTAL CAPITAL EXPENDITURE</t>
  </si>
  <si>
    <t>TOTAL EXPENDITURE</t>
  </si>
  <si>
    <t>TOTAL RECEIPTS</t>
  </si>
  <si>
    <t>TOTAL LOAN FUNDS</t>
  </si>
  <si>
    <t>Grants</t>
  </si>
  <si>
    <t xml:space="preserve"> (Dec- 2020)</t>
  </si>
  <si>
    <t xml:space="preserve">Transfers to Current Account  </t>
  </si>
  <si>
    <t>Transfers to Capital Account</t>
  </si>
  <si>
    <t>Ministry of Economic Growth and Job Creation</t>
  </si>
  <si>
    <t>Ministry of Housing, Urban Renewal, Environment and
 Climate Change</t>
  </si>
  <si>
    <t>Ministry of Transport and Mining</t>
  </si>
  <si>
    <t>GROSS TOTAL</t>
  </si>
  <si>
    <t>STATEMENT V</t>
  </si>
  <si>
    <t xml:space="preserve">STATEMENT OF STATUTORY EXPENDITURE CHARGED </t>
  </si>
  <si>
    <t>TO THE CONSOLIDATED FUND</t>
  </si>
  <si>
    <t>Head of Estimates</t>
  </si>
  <si>
    <t>Particulars of Service</t>
  </si>
  <si>
    <t>Amount</t>
  </si>
  <si>
    <t>Statutory Authority</t>
  </si>
  <si>
    <t>No.</t>
  </si>
  <si>
    <t>Emoluments of the Governor-General and his personal staff as well as general expenditure affiliated to the office of the Governor-General</t>
  </si>
  <si>
    <t>Section 12 of the Governor-General (Expenditure, Personal Staff, Tax Exemptions and Pensions) Act.</t>
  </si>
  <si>
    <t>02000</t>
  </si>
  <si>
    <t>Salaries and Allowances of the Clerk and Deputy Clerk of the Senate and the House of Representatives.</t>
  </si>
  <si>
    <t>Section 47 (8) of the Constitution of Jamaica.</t>
  </si>
  <si>
    <t>03000</t>
  </si>
  <si>
    <t>Salary and Allowances of the Public Defender.</t>
  </si>
  <si>
    <t>Section 9 of the Public Defender Interim Act 33/1999</t>
  </si>
  <si>
    <t>Salary of the Auditor General</t>
  </si>
  <si>
    <t>Section 120–122 of the Constitution of Jamaica; Section 25–36 of the Financial Administration and Audit Act.</t>
  </si>
  <si>
    <t>Salaries and Allowances of the Chairman and members of the Public Service Commissions.</t>
  </si>
  <si>
    <t>Section 124 (8) of the Constitution of Jamaica.</t>
  </si>
  <si>
    <t>07000</t>
  </si>
  <si>
    <t>Salary of the Children's Advocate</t>
  </si>
  <si>
    <t>The Child Care and Protection Act, First Schedule</t>
  </si>
  <si>
    <t>08000</t>
  </si>
  <si>
    <t>Salary of the Commissioner</t>
  </si>
  <si>
    <t>The Independent Commission of Investigations Act, First Schedule</t>
  </si>
  <si>
    <t>09000</t>
  </si>
  <si>
    <t>Salaries and Allowances for the Commissioners of the Integrity Commission</t>
  </si>
  <si>
    <t>Section 22 of the Integrity Commission Act</t>
  </si>
  <si>
    <t>Public Debt Servicing (Amortisation)</t>
  </si>
  <si>
    <t>Payment for the amortisation of loans raised by the Government of Jamaica.</t>
  </si>
  <si>
    <t>Section 119 of the Constitution of Jamaica</t>
  </si>
  <si>
    <t>Public Debt Servicing (Interest Payments)</t>
  </si>
  <si>
    <t>Payment of interest, service charges and commitment fees in respect of the public debt of Jamaica.</t>
  </si>
  <si>
    <t>Section 119 of the Constitution of Jamaica.</t>
  </si>
  <si>
    <t>Pensions</t>
  </si>
  <si>
    <t>Public Officers Pensions, Gratuities and Monthly Allowances granted in pursuance of the provisions of the Pensions Act.</t>
  </si>
  <si>
    <t>Section 4 of the Pensions Act.</t>
  </si>
  <si>
    <t>Jamaica Defence Force Pension</t>
  </si>
  <si>
    <t>Defence (Retired, Pay Pensions and other Grants) Regulation, 1962</t>
  </si>
  <si>
    <t>Payment of Pensions and Gratuities to Teachers in accordance with the Pensions Act</t>
  </si>
  <si>
    <t>The Pensions (Teachers) Act.</t>
  </si>
  <si>
    <t>Payment of Pensions, Gratuities or other allowances to Sub-Officers and Constables of the Police Force in accordance with the Constabulary Force Act</t>
  </si>
  <si>
    <t>Constabulary Force Act.</t>
  </si>
  <si>
    <t>Payment of retiring allowances, Widows’ allowances or gratuity to legislators in accordance with the provisions of the Retiring Allowance  (Legislative Service) Act, and/or The Pensions (Prime Minister) Act.</t>
  </si>
  <si>
    <t>Section 12 of the Retiring Allowances (Legislative Service) Act and Section 7 of the Pensions (Prime Minister) Act.</t>
  </si>
  <si>
    <t>Refund of Family Benefits Contributions in accordance with the Provisions of the Pensions (Civil Service Family Benefits) Act.</t>
  </si>
  <si>
    <t>Section 10 of the Pensions (Civil Service Family Benefits) Act.</t>
  </si>
  <si>
    <t>Payment of Pensions in accordance with the Provisions of the Pensions (Civil Service Family Benefits) Act.</t>
  </si>
  <si>
    <t>Pensions (Civil Service Family Benefits) Act.</t>
  </si>
  <si>
    <t>Payment of Pensions to retired Parish Councillors and/or their widows in accordance with the provisions of the Retiring Allowances (Parish Councillors) Act</t>
  </si>
  <si>
    <t>Parish Councillors Act 2005</t>
  </si>
  <si>
    <t>Payment of Pensions to the retired members of the Electoral Commission and their widows</t>
  </si>
  <si>
    <t>The Pensions Act</t>
  </si>
  <si>
    <t>Payment of Pensions to the retired Ombudsmen and their widows.</t>
  </si>
  <si>
    <t>The Ombudsman Act</t>
  </si>
  <si>
    <t>Governor-General's Pension</t>
  </si>
  <si>
    <t>Governor General Act</t>
  </si>
  <si>
    <t>Payment of Pensions to the retired Contractor General and his widow in accordance with the Contractor General Act.</t>
  </si>
  <si>
    <t>The Contractor General Act</t>
  </si>
  <si>
    <t>Jamaica Agricultural Society Pensions</t>
  </si>
  <si>
    <t>Provident Fund Act</t>
  </si>
  <si>
    <t>Payment of Pensions to the former employees, Jamaica Railway Corporation.</t>
  </si>
  <si>
    <t>Jamaica Railway Corporation (Pensions) Regulations</t>
  </si>
  <si>
    <t>Total Pensions</t>
  </si>
  <si>
    <t>28025</t>
  </si>
  <si>
    <t>Director of Public Prosecutions</t>
  </si>
  <si>
    <t>Payment of Salary to the Director of Public Prosecutions</t>
  </si>
  <si>
    <t>Section 95 (2) of the Constitution of Jamaica</t>
  </si>
  <si>
    <t>Judiciary</t>
  </si>
  <si>
    <t>Payment of Salaries to the Judges of the Court of Appeal and the Supreme Court</t>
  </si>
  <si>
    <t>Section 107 (1) of the Constitution of Jamaica</t>
  </si>
  <si>
    <t xml:space="preserve">Total </t>
  </si>
  <si>
    <t>INDEX TO ESTIMATES OF REVENUE</t>
  </si>
  <si>
    <t>2021-2022</t>
  </si>
  <si>
    <r>
      <t>Page No</t>
    </r>
    <r>
      <rPr>
        <sz val="12"/>
        <rFont val="Arial"/>
        <family val="2"/>
      </rPr>
      <t>.</t>
    </r>
  </si>
  <si>
    <t>A</t>
  </si>
  <si>
    <t>STATEMENT OF REVENUE ESTIMATES</t>
  </si>
  <si>
    <t>Statement I</t>
  </si>
  <si>
    <t>Summary of Revenue and Loan Receipts</t>
  </si>
  <si>
    <t>Statement II</t>
  </si>
  <si>
    <t>Details of Revenue and Loan Receipts</t>
  </si>
  <si>
    <t>B</t>
  </si>
  <si>
    <t>STATEMENT OF FINANCING OF THE BUDGET</t>
  </si>
  <si>
    <t xml:space="preserve">Statement III </t>
  </si>
  <si>
    <t>Summary of Revenue Estimates and Estimates of Expenditure</t>
  </si>
  <si>
    <t>Statement IV</t>
  </si>
  <si>
    <t xml:space="preserve">Statement of the Financing of the  Estimates of Expenditure </t>
  </si>
  <si>
    <t>Statement V</t>
  </si>
  <si>
    <t>Statement of Statutory Expenditure Charged to the Consolidated Fund</t>
  </si>
  <si>
    <t xml:space="preserve">(C) Utilization of  (Prior Year) Cash Balances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</si>
</sst>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\ ;\(#,##0\)"/>
    <numFmt numFmtId="166" formatCode="#,##0.0\ ;\(#,##0.0\)"/>
    <numFmt numFmtId="167" formatCode="_-* #,##0_-;\-* #,##0_-;_-* &quot;-&quot;??_-;_-@_-"/>
    <numFmt numFmtId="168" formatCode="#,##0.0_);[Red]\(#,##0.0\)"/>
    <numFmt numFmtId="169" formatCode="_([$€-2]* #,##0.00_);_([$€-2]* \(#,##0.00\);_([$€-2]* &quot;-&quot;??_)"/>
    <numFmt numFmtId="170" formatCode="General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Helv"/>
    </font>
    <font>
      <sz val="9.5"/>
      <name val="CG Times (E1)"/>
    </font>
    <font>
      <sz val="9.5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9.5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2"/>
      <name val="Courier"/>
      <family val="3"/>
    </font>
    <font>
      <sz val="9.5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0" fontId="8" fillId="0" borderId="0" applyFont="0" applyFill="0" applyBorder="0" applyAlignment="0" applyProtection="0"/>
    <xf numFmtId="0" fontId="9" fillId="0" borderId="0"/>
    <xf numFmtId="0" fontId="15" fillId="0" borderId="0"/>
    <xf numFmtId="9" fontId="1" fillId="0" borderId="0" applyFont="0" applyFill="0" applyBorder="0" applyAlignment="0" applyProtection="0"/>
    <xf numFmtId="0" fontId="15" fillId="0" borderId="0">
      <alignment wrapText="1"/>
    </xf>
    <xf numFmtId="0" fontId="1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20" fillId="0" borderId="0"/>
    <xf numFmtId="0" fontId="3" fillId="0" borderId="0"/>
  </cellStyleXfs>
  <cellXfs count="564">
    <xf numFmtId="0" fontId="0" fillId="0" borderId="0" xfId="0"/>
    <xf numFmtId="0" fontId="3" fillId="0" borderId="0" xfId="3"/>
    <xf numFmtId="0" fontId="3" fillId="0" borderId="0" xfId="3" applyAlignment="1">
      <alignment wrapText="1"/>
    </xf>
    <xf numFmtId="165" fontId="3" fillId="0" borderId="0" xfId="4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164" fontId="3" fillId="0" borderId="0" xfId="1" applyFont="1" applyFill="1" applyBorder="1"/>
    <xf numFmtId="0" fontId="3" fillId="0" borderId="0" xfId="3" applyAlignment="1">
      <alignment horizontal="right"/>
    </xf>
    <xf numFmtId="38" fontId="3" fillId="0" borderId="0" xfId="4" applyNumberFormat="1" applyFont="1" applyFill="1" applyBorder="1" applyAlignment="1">
      <alignment horizontal="center"/>
    </xf>
    <xf numFmtId="38" fontId="3" fillId="0" borderId="0" xfId="1" applyNumberFormat="1" applyFont="1" applyFill="1" applyBorder="1" applyAlignment="1">
      <alignment horizontal="center"/>
    </xf>
    <xf numFmtId="165" fontId="3" fillId="0" borderId="0" xfId="3" quotePrefix="1" applyNumberFormat="1" applyAlignment="1">
      <alignment horizontal="center"/>
    </xf>
    <xf numFmtId="43" fontId="3" fillId="0" borderId="0" xfId="3" applyNumberFormat="1"/>
    <xf numFmtId="164" fontId="4" fillId="0" borderId="0" xfId="1" applyFont="1"/>
    <xf numFmtId="165" fontId="4" fillId="0" borderId="0" xfId="5" applyNumberFormat="1" applyFont="1"/>
    <xf numFmtId="165" fontId="4" fillId="0" borderId="7" xfId="5" applyNumberFormat="1" applyFont="1" applyBorder="1"/>
    <xf numFmtId="165" fontId="4" fillId="0" borderId="8" xfId="5" applyNumberFormat="1" applyFont="1" applyBorder="1"/>
    <xf numFmtId="165" fontId="3" fillId="0" borderId="20" xfId="5" applyNumberFormat="1" applyFont="1" applyBorder="1"/>
    <xf numFmtId="165" fontId="3" fillId="0" borderId="0" xfId="5" applyNumberFormat="1" applyFont="1"/>
    <xf numFmtId="165" fontId="4" fillId="0" borderId="9" xfId="5" applyNumberFormat="1" applyFont="1" applyBorder="1"/>
    <xf numFmtId="165" fontId="3" fillId="0" borderId="12" xfId="5" applyNumberFormat="1" applyFont="1" applyBorder="1"/>
    <xf numFmtId="165" fontId="4" fillId="0" borderId="10" xfId="5" applyNumberFormat="1" applyFont="1" applyBorder="1"/>
    <xf numFmtId="165" fontId="4" fillId="0" borderId="11" xfId="5" applyNumberFormat="1" applyFont="1" applyBorder="1"/>
    <xf numFmtId="165" fontId="3" fillId="0" borderId="15" xfId="5" applyNumberFormat="1" applyFont="1" applyBorder="1"/>
    <xf numFmtId="165" fontId="3" fillId="0" borderId="8" xfId="5" applyNumberFormat="1" applyFont="1" applyBorder="1"/>
    <xf numFmtId="165" fontId="4" fillId="0" borderId="0" xfId="5" applyNumberFormat="1" applyFont="1" applyAlignment="1">
      <alignment horizontal="left"/>
    </xf>
    <xf numFmtId="0" fontId="4" fillId="0" borderId="0" xfId="5" applyFont="1"/>
    <xf numFmtId="38" fontId="3" fillId="0" borderId="1" xfId="6" applyNumberFormat="1" applyFont="1" applyBorder="1" applyAlignment="1">
      <alignment horizontal="center" vertical="top"/>
    </xf>
    <xf numFmtId="38" fontId="3" fillId="0" borderId="18" xfId="6" applyNumberFormat="1" applyFont="1" applyBorder="1" applyAlignment="1">
      <alignment horizontal="center" vertical="top"/>
    </xf>
    <xf numFmtId="38" fontId="3" fillId="0" borderId="0" xfId="6" applyNumberFormat="1" applyFont="1" applyBorder="1" applyAlignment="1">
      <alignment horizontal="center" vertical="top"/>
    </xf>
    <xf numFmtId="38" fontId="3" fillId="0" borderId="0" xfId="6" applyNumberFormat="1" applyFont="1" applyAlignment="1">
      <alignment horizontal="center" vertical="top"/>
    </xf>
    <xf numFmtId="38" fontId="3" fillId="0" borderId="10" xfId="6" applyNumberFormat="1" applyFont="1" applyBorder="1" applyAlignment="1">
      <alignment horizontal="center" vertical="top"/>
    </xf>
    <xf numFmtId="38" fontId="3" fillId="0" borderId="15" xfId="6" applyNumberFormat="1" applyFont="1" applyBorder="1" applyAlignment="1">
      <alignment horizontal="center" vertical="top"/>
    </xf>
    <xf numFmtId="38" fontId="3" fillId="0" borderId="5" xfId="6" applyNumberFormat="1" applyFont="1" applyBorder="1" applyAlignment="1">
      <alignment horizontal="center" vertical="top"/>
    </xf>
    <xf numFmtId="38" fontId="3" fillId="0" borderId="16" xfId="6" applyNumberFormat="1" applyFont="1" applyBorder="1" applyAlignment="1">
      <alignment horizontal="center" vertical="top"/>
    </xf>
    <xf numFmtId="38" fontId="3" fillId="0" borderId="5" xfId="6" applyNumberFormat="1" applyFont="1" applyFill="1" applyBorder="1" applyAlignment="1">
      <alignment horizontal="center" vertical="top"/>
    </xf>
    <xf numFmtId="38" fontId="3" fillId="0" borderId="16" xfId="6" applyNumberFormat="1" applyFont="1" applyFill="1" applyBorder="1" applyAlignment="1">
      <alignment horizontal="center" vertical="top"/>
    </xf>
    <xf numFmtId="38" fontId="3" fillId="0" borderId="0" xfId="6" applyNumberFormat="1" applyFont="1" applyFill="1" applyBorder="1" applyAlignment="1">
      <alignment horizontal="center" vertical="top"/>
    </xf>
    <xf numFmtId="38" fontId="3" fillId="0" borderId="0" xfId="6" applyNumberFormat="1" applyFont="1" applyFill="1" applyAlignment="1">
      <alignment horizontal="center" vertical="top"/>
    </xf>
    <xf numFmtId="38" fontId="3" fillId="0" borderId="7" xfId="6" applyNumberFormat="1" applyFont="1" applyBorder="1" applyAlignment="1">
      <alignment vertical="top"/>
    </xf>
    <xf numFmtId="38" fontId="3" fillId="0" borderId="8" xfId="6" applyNumberFormat="1" applyFont="1" applyBorder="1" applyAlignment="1">
      <alignment vertical="top"/>
    </xf>
    <xf numFmtId="38" fontId="4" fillId="0" borderId="20" xfId="6" applyNumberFormat="1" applyFont="1" applyBorder="1" applyAlignment="1">
      <alignment horizontal="right" vertical="top"/>
    </xf>
    <xf numFmtId="38" fontId="3" fillId="0" borderId="0" xfId="6" applyNumberFormat="1" applyFont="1" applyBorder="1" applyAlignment="1">
      <alignment horizontal="right" vertical="top"/>
    </xf>
    <xf numFmtId="38" fontId="3" fillId="0" borderId="7" xfId="6" applyNumberFormat="1" applyFont="1" applyBorder="1" applyAlignment="1">
      <alignment horizontal="right" vertical="top"/>
    </xf>
    <xf numFmtId="38" fontId="3" fillId="0" borderId="12" xfId="6" applyNumberFormat="1" applyFont="1" applyBorder="1" applyAlignment="1">
      <alignment horizontal="right" vertical="top"/>
    </xf>
    <xf numFmtId="38" fontId="3" fillId="0" borderId="0" xfId="6" applyNumberFormat="1" applyFont="1" applyBorder="1" applyAlignment="1">
      <alignment vertical="top"/>
    </xf>
    <xf numFmtId="38" fontId="3" fillId="0" borderId="0" xfId="6" applyNumberFormat="1" applyFont="1" applyAlignment="1">
      <alignment vertical="top"/>
    </xf>
    <xf numFmtId="38" fontId="3" fillId="0" borderId="9" xfId="6" applyNumberFormat="1" applyFont="1" applyBorder="1" applyAlignment="1">
      <alignment vertical="top"/>
    </xf>
    <xf numFmtId="38" fontId="4" fillId="0" borderId="0" xfId="6" applyNumberFormat="1" applyFont="1" applyBorder="1" applyAlignment="1">
      <alignment vertical="top"/>
    </xf>
    <xf numFmtId="38" fontId="4" fillId="0" borderId="12" xfId="6" quotePrefix="1" applyNumberFormat="1" applyFont="1" applyBorder="1" applyAlignment="1">
      <alignment horizontal="right" vertical="top"/>
    </xf>
    <xf numFmtId="38" fontId="3" fillId="0" borderId="9" xfId="6" applyNumberFormat="1" applyFont="1" applyBorder="1" applyAlignment="1">
      <alignment horizontal="right" vertical="top"/>
    </xf>
    <xf numFmtId="38" fontId="4" fillId="0" borderId="12" xfId="6" quotePrefix="1" applyNumberFormat="1" applyFont="1" applyBorder="1" applyAlignment="1">
      <alignment vertical="top"/>
    </xf>
    <xf numFmtId="38" fontId="3" fillId="0" borderId="12" xfId="6" applyNumberFormat="1" applyFont="1" applyBorder="1" applyAlignment="1">
      <alignment vertical="top"/>
    </xf>
    <xf numFmtId="38" fontId="3" fillId="0" borderId="9" xfId="6" applyNumberFormat="1" applyFont="1" applyBorder="1" applyAlignment="1">
      <alignment vertical="center"/>
    </xf>
    <xf numFmtId="38" fontId="3" fillId="0" borderId="0" xfId="6" applyNumberFormat="1" applyFont="1" applyBorder="1" applyAlignment="1">
      <alignment vertical="center"/>
    </xf>
    <xf numFmtId="38" fontId="3" fillId="0" borderId="12" xfId="6" applyNumberFormat="1" applyFont="1" applyBorder="1" applyAlignment="1">
      <alignment vertical="center"/>
    </xf>
    <xf numFmtId="38" fontId="3" fillId="0" borderId="0" xfId="6" applyNumberFormat="1" applyFont="1" applyAlignment="1">
      <alignment vertical="center"/>
    </xf>
    <xf numFmtId="38" fontId="3" fillId="0" borderId="0" xfId="6" applyNumberFormat="1" applyFont="1" applyFill="1" applyBorder="1" applyAlignment="1">
      <alignment vertical="top"/>
    </xf>
    <xf numFmtId="38" fontId="3" fillId="0" borderId="0" xfId="6" applyNumberFormat="1" applyFont="1" applyBorder="1" applyAlignment="1" applyProtection="1">
      <alignment vertical="top"/>
      <protection locked="0"/>
    </xf>
    <xf numFmtId="38" fontId="3" fillId="0" borderId="12" xfId="6" applyNumberFormat="1" applyFont="1" applyBorder="1" applyAlignment="1" applyProtection="1">
      <alignment vertical="top"/>
      <protection locked="0"/>
    </xf>
    <xf numFmtId="38" fontId="3" fillId="0" borderId="9" xfId="6" applyNumberFormat="1" applyFont="1" applyBorder="1" applyAlignment="1" applyProtection="1">
      <alignment vertical="top"/>
      <protection locked="0"/>
    </xf>
    <xf numFmtId="38" fontId="4" fillId="0" borderId="12" xfId="6" applyNumberFormat="1" applyFont="1" applyBorder="1" applyAlignment="1">
      <alignment vertical="top"/>
    </xf>
    <xf numFmtId="38" fontId="4" fillId="0" borderId="9" xfId="6" applyNumberFormat="1" applyFont="1" applyBorder="1" applyAlignment="1">
      <alignment vertical="top"/>
    </xf>
    <xf numFmtId="38" fontId="3" fillId="0" borderId="0" xfId="6" applyNumberFormat="1" applyFont="1" applyFill="1" applyAlignment="1">
      <alignment vertical="top"/>
    </xf>
    <xf numFmtId="38" fontId="3" fillId="0" borderId="10" xfId="6" applyNumberFormat="1" applyFont="1" applyBorder="1" applyAlignment="1">
      <alignment vertical="top"/>
    </xf>
    <xf numFmtId="38" fontId="4" fillId="0" borderId="11" xfId="6" applyNumberFormat="1" applyFont="1" applyBorder="1" applyAlignment="1">
      <alignment vertical="top"/>
    </xf>
    <xf numFmtId="38" fontId="3" fillId="0" borderId="11" xfId="6" applyNumberFormat="1" applyFont="1" applyBorder="1" applyAlignment="1">
      <alignment vertical="top"/>
    </xf>
    <xf numFmtId="38" fontId="4" fillId="0" borderId="15" xfId="6" applyNumberFormat="1" applyFont="1" applyBorder="1" applyAlignment="1">
      <alignment vertical="top"/>
    </xf>
    <xf numFmtId="38" fontId="4" fillId="0" borderId="10" xfId="6" applyNumberFormat="1" applyFont="1" applyBorder="1" applyAlignment="1">
      <alignment vertical="top"/>
    </xf>
    <xf numFmtId="38" fontId="3" fillId="0" borderId="15" xfId="6" applyNumberFormat="1" applyFont="1" applyBorder="1" applyAlignment="1">
      <alignment vertical="top"/>
    </xf>
    <xf numFmtId="38" fontId="3" fillId="0" borderId="20" xfId="6" applyNumberFormat="1" applyFont="1" applyBorder="1" applyAlignment="1">
      <alignment horizontal="right" vertical="top"/>
    </xf>
    <xf numFmtId="38" fontId="3" fillId="0" borderId="9" xfId="6" applyNumberFormat="1" applyFont="1" applyFill="1" applyBorder="1" applyAlignment="1">
      <alignment vertical="top"/>
    </xf>
    <xf numFmtId="38" fontId="3" fillId="0" borderId="12" xfId="6" applyNumberFormat="1" applyFont="1" applyFill="1" applyBorder="1" applyAlignment="1">
      <alignment vertical="top"/>
    </xf>
    <xf numFmtId="38" fontId="3" fillId="0" borderId="9" xfId="6" applyNumberFormat="1" applyFont="1" applyFill="1" applyBorder="1" applyAlignment="1">
      <alignment vertical="center"/>
    </xf>
    <xf numFmtId="38" fontId="3" fillId="0" borderId="12" xfId="6" applyNumberFormat="1" applyFont="1" applyFill="1" applyBorder="1" applyAlignment="1">
      <alignment vertical="center"/>
    </xf>
    <xf numFmtId="38" fontId="3" fillId="0" borderId="0" xfId="6" applyNumberFormat="1" applyFont="1" applyFill="1" applyAlignment="1">
      <alignment vertical="center"/>
    </xf>
    <xf numFmtId="38" fontId="3" fillId="0" borderId="7" xfId="6" applyNumberFormat="1" applyFont="1" applyFill="1" applyBorder="1" applyAlignment="1">
      <alignment vertical="top"/>
    </xf>
    <xf numFmtId="38" fontId="3" fillId="0" borderId="8" xfId="6" applyNumberFormat="1" applyFont="1" applyFill="1" applyBorder="1" applyAlignment="1">
      <alignment vertical="top"/>
    </xf>
    <xf numFmtId="38" fontId="4" fillId="0" borderId="8" xfId="6" applyNumberFormat="1" applyFont="1" applyFill="1" applyBorder="1" applyAlignment="1">
      <alignment vertical="top"/>
    </xf>
    <xf numFmtId="38" fontId="3" fillId="0" borderId="20" xfId="6" applyNumberFormat="1" applyFont="1" applyFill="1" applyBorder="1" applyAlignment="1">
      <alignment vertical="top"/>
    </xf>
    <xf numFmtId="38" fontId="4" fillId="0" borderId="0" xfId="6" applyNumberFormat="1" applyFont="1" applyAlignment="1">
      <alignment vertical="top"/>
    </xf>
    <xf numFmtId="0" fontId="10" fillId="0" borderId="0" xfId="7" applyFont="1"/>
    <xf numFmtId="0" fontId="10" fillId="0" borderId="12" xfId="7" applyFont="1" applyBorder="1"/>
    <xf numFmtId="0" fontId="11" fillId="0" borderId="7" xfId="7" quotePrefix="1" applyFont="1" applyBorder="1" applyAlignment="1">
      <alignment horizontal="center"/>
    </xf>
    <xf numFmtId="0" fontId="11" fillId="0" borderId="8" xfId="7" quotePrefix="1" applyFont="1" applyBorder="1" applyAlignment="1">
      <alignment horizontal="center"/>
    </xf>
    <xf numFmtId="0" fontId="10" fillId="0" borderId="5" xfId="7" applyFont="1" applyBorder="1" applyAlignment="1">
      <alignment horizontal="fill"/>
    </xf>
    <xf numFmtId="0" fontId="12" fillId="0" borderId="6" xfId="7" applyFont="1" applyBorder="1" applyAlignment="1">
      <alignment horizontal="center"/>
    </xf>
    <xf numFmtId="0" fontId="10" fillId="0" borderId="16" xfId="7" applyFont="1" applyBorder="1" applyAlignment="1">
      <alignment horizontal="fill"/>
    </xf>
    <xf numFmtId="0" fontId="10" fillId="0" borderId="0" xfId="7" applyFont="1" applyAlignment="1">
      <alignment horizontal="fill"/>
    </xf>
    <xf numFmtId="0" fontId="10" fillId="0" borderId="7" xfId="7" applyFont="1" applyBorder="1" applyAlignment="1">
      <alignment horizontal="left"/>
    </xf>
    <xf numFmtId="0" fontId="10" fillId="0" borderId="8" xfId="7" applyFont="1" applyBorder="1"/>
    <xf numFmtId="0" fontId="11" fillId="0" borderId="20" xfId="7" applyFont="1" applyBorder="1" applyAlignment="1">
      <alignment horizontal="right"/>
    </xf>
    <xf numFmtId="0" fontId="10" fillId="0" borderId="0" xfId="7" applyFont="1" applyAlignment="1">
      <alignment horizontal="left"/>
    </xf>
    <xf numFmtId="0" fontId="12" fillId="0" borderId="8" xfId="7" applyFont="1" applyBorder="1" applyAlignment="1">
      <alignment horizontal="center"/>
    </xf>
    <xf numFmtId="165" fontId="10" fillId="0" borderId="0" xfId="7" applyNumberFormat="1" applyFont="1"/>
    <xf numFmtId="0" fontId="10" fillId="0" borderId="9" xfId="7" applyFont="1" applyBorder="1"/>
    <xf numFmtId="165" fontId="10" fillId="0" borderId="12" xfId="7" applyNumberFormat="1" applyFont="1" applyBorder="1"/>
    <xf numFmtId="165" fontId="10" fillId="0" borderId="9" xfId="7" applyNumberFormat="1" applyFont="1" applyBorder="1"/>
    <xf numFmtId="0" fontId="11" fillId="0" borderId="0" xfId="7" applyFont="1" applyAlignment="1">
      <alignment horizontal="left"/>
    </xf>
    <xf numFmtId="165" fontId="11" fillId="0" borderId="12" xfId="7" applyNumberFormat="1" applyFont="1" applyBorder="1"/>
    <xf numFmtId="0" fontId="11" fillId="0" borderId="0" xfId="7" applyFont="1" applyAlignment="1">
      <alignment horizontal="center"/>
    </xf>
    <xf numFmtId="165" fontId="10" fillId="0" borderId="0" xfId="7" applyNumberFormat="1" applyFont="1" applyProtection="1">
      <protection locked="0"/>
    </xf>
    <xf numFmtId="165" fontId="10" fillId="0" borderId="12" xfId="7" applyNumberFormat="1" applyFont="1" applyBorder="1" applyProtection="1">
      <protection locked="0"/>
    </xf>
    <xf numFmtId="165" fontId="10" fillId="0" borderId="9" xfId="7" applyNumberFormat="1" applyFont="1" applyBorder="1" applyProtection="1">
      <protection locked="0"/>
    </xf>
    <xf numFmtId="165" fontId="11" fillId="0" borderId="0" xfId="7" applyNumberFormat="1" applyFont="1"/>
    <xf numFmtId="165" fontId="11" fillId="0" borderId="9" xfId="7" applyNumberFormat="1" applyFont="1" applyBorder="1"/>
    <xf numFmtId="0" fontId="11" fillId="0" borderId="9" xfId="7" applyFont="1" applyBorder="1" applyAlignment="1">
      <alignment horizontal="left"/>
    </xf>
    <xf numFmtId="0" fontId="13" fillId="0" borderId="0" xfId="7" applyFont="1" applyAlignment="1">
      <alignment horizontal="left"/>
    </xf>
    <xf numFmtId="38" fontId="10" fillId="0" borderId="12" xfId="6" applyNumberFormat="1" applyFont="1" applyBorder="1"/>
    <xf numFmtId="38" fontId="4" fillId="0" borderId="0" xfId="6" applyNumberFormat="1" applyFont="1" applyBorder="1" applyAlignment="1">
      <alignment horizontal="left"/>
    </xf>
    <xf numFmtId="166" fontId="10" fillId="0" borderId="0" xfId="7" applyNumberFormat="1" applyFont="1"/>
    <xf numFmtId="166" fontId="10" fillId="0" borderId="12" xfId="7" applyNumberFormat="1" applyFont="1" applyBorder="1"/>
    <xf numFmtId="166" fontId="10" fillId="0" borderId="9" xfId="7" applyNumberFormat="1" applyFont="1" applyBorder="1"/>
    <xf numFmtId="0" fontId="10" fillId="0" borderId="10" xfId="7" applyFont="1" applyBorder="1"/>
    <xf numFmtId="0" fontId="10" fillId="0" borderId="11" xfId="7" applyFont="1" applyBorder="1"/>
    <xf numFmtId="0" fontId="10" fillId="0" borderId="15" xfId="7" applyFont="1" applyBorder="1"/>
    <xf numFmtId="164" fontId="3" fillId="0" borderId="14" xfId="1" applyFont="1" applyBorder="1"/>
    <xf numFmtId="164" fontId="3" fillId="0" borderId="13" xfId="1" applyFont="1" applyBorder="1"/>
    <xf numFmtId="164" fontId="3" fillId="0" borderId="14" xfId="1" applyFont="1" applyBorder="1" applyAlignment="1">
      <alignment horizontal="centerContinuous"/>
    </xf>
    <xf numFmtId="164" fontId="3" fillId="0" borderId="0" xfId="1" applyFont="1"/>
    <xf numFmtId="164" fontId="3" fillId="0" borderId="9" xfId="1" applyFont="1" applyBorder="1"/>
    <xf numFmtId="164" fontId="3" fillId="0" borderId="9" xfId="1" applyFont="1" applyBorder="1" applyAlignment="1">
      <alignment horizontal="centerContinuous"/>
    </xf>
    <xf numFmtId="164" fontId="3" fillId="0" borderId="0" xfId="1" applyFont="1" applyBorder="1"/>
    <xf numFmtId="0" fontId="14" fillId="0" borderId="0" xfId="0" applyFont="1"/>
    <xf numFmtId="43" fontId="3" fillId="0" borderId="0" xfId="3" applyNumberFormat="1" applyAlignment="1">
      <alignment horizontal="right"/>
    </xf>
    <xf numFmtId="0" fontId="4" fillId="0" borderId="0" xfId="3" applyFont="1"/>
    <xf numFmtId="0" fontId="3" fillId="0" borderId="0" xfId="3" applyAlignment="1">
      <alignment horizontal="left"/>
    </xf>
    <xf numFmtId="0" fontId="3" fillId="0" borderId="0" xfId="3" applyAlignment="1">
      <alignment horizontal="center"/>
    </xf>
    <xf numFmtId="0" fontId="3" fillId="0" borderId="0" xfId="3" quotePrefix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 quotePrefix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 applyAlignment="1">
      <alignment horizontal="center"/>
    </xf>
    <xf numFmtId="0" fontId="3" fillId="0" borderId="0" xfId="3" applyAlignment="1">
      <alignment horizontal="center" vertical="center"/>
    </xf>
    <xf numFmtId="0" fontId="3" fillId="0" borderId="0" xfId="3" quotePrefix="1" applyAlignment="1">
      <alignment horizontal="center" vertical="top"/>
    </xf>
    <xf numFmtId="0" fontId="3" fillId="0" borderId="0" xfId="3" quotePrefix="1" applyAlignment="1">
      <alignment horizontal="center" vertical="center"/>
    </xf>
    <xf numFmtId="0" fontId="3" fillId="0" borderId="0" xfId="3" quotePrefix="1" applyAlignment="1">
      <alignment horizontal="center" vertical="center" wrapText="1"/>
    </xf>
    <xf numFmtId="0" fontId="3" fillId="0" borderId="0" xfId="3" applyAlignment="1">
      <alignment horizontal="left" vertical="center"/>
    </xf>
    <xf numFmtId="0" fontId="3" fillId="0" borderId="0" xfId="3" quotePrefix="1"/>
    <xf numFmtId="0" fontId="3" fillId="0" borderId="0" xfId="3" applyAlignment="1">
      <alignment horizontal="center" wrapText="1"/>
    </xf>
    <xf numFmtId="38" fontId="3" fillId="0" borderId="0" xfId="4" quotePrefix="1" applyNumberFormat="1" applyFont="1" applyFill="1" applyBorder="1" applyAlignment="1">
      <alignment horizontal="center"/>
    </xf>
    <xf numFmtId="164" fontId="4" fillId="0" borderId="14" xfId="1" applyFont="1" applyBorder="1"/>
    <xf numFmtId="164" fontId="4" fillId="0" borderId="9" xfId="1" applyFont="1" applyBorder="1"/>
    <xf numFmtId="164" fontId="5" fillId="0" borderId="14" xfId="1" applyFont="1" applyBorder="1"/>
    <xf numFmtId="38" fontId="4" fillId="0" borderId="9" xfId="6" applyNumberFormat="1" applyFont="1" applyBorder="1" applyAlignment="1">
      <alignment vertical="center"/>
    </xf>
    <xf numFmtId="164" fontId="4" fillId="0" borderId="0" xfId="1" applyFont="1" applyBorder="1" applyAlignment="1">
      <alignment vertical="top"/>
    </xf>
    <xf numFmtId="164" fontId="10" fillId="0" borderId="0" xfId="1" applyFont="1" applyBorder="1"/>
    <xf numFmtId="164" fontId="11" fillId="0" borderId="8" xfId="1" quotePrefix="1" applyFont="1" applyBorder="1" applyAlignment="1">
      <alignment horizontal="center"/>
    </xf>
    <xf numFmtId="164" fontId="10" fillId="0" borderId="6" xfId="1" applyFont="1" applyFill="1" applyBorder="1" applyAlignment="1">
      <alignment horizontal="fill"/>
    </xf>
    <xf numFmtId="164" fontId="11" fillId="0" borderId="8" xfId="1" applyFont="1" applyBorder="1" applyAlignment="1">
      <alignment horizontal="right"/>
    </xf>
    <xf numFmtId="164" fontId="11" fillId="0" borderId="17" xfId="1" applyFont="1" applyBorder="1"/>
    <xf numFmtId="164" fontId="10" fillId="0" borderId="0" xfId="1" applyFont="1" applyBorder="1" applyProtection="1">
      <protection locked="0"/>
    </xf>
    <xf numFmtId="164" fontId="11" fillId="0" borderId="0" xfId="1" applyFont="1" applyBorder="1"/>
    <xf numFmtId="164" fontId="10" fillId="0" borderId="11" xfId="1" applyFont="1" applyBorder="1"/>
    <xf numFmtId="164" fontId="10" fillId="0" borderId="0" xfId="1" applyFont="1"/>
    <xf numFmtId="164" fontId="3" fillId="0" borderId="0" xfId="1" applyFont="1" applyBorder="1" applyAlignment="1">
      <alignment vertical="top"/>
    </xf>
    <xf numFmtId="164" fontId="3" fillId="0" borderId="0" xfId="1" applyFont="1" applyBorder="1" applyAlignment="1">
      <alignment vertical="center"/>
    </xf>
    <xf numFmtId="164" fontId="3" fillId="0" borderId="11" xfId="1" applyFont="1" applyBorder="1" applyAlignment="1">
      <alignment vertical="top"/>
    </xf>
    <xf numFmtId="164" fontId="4" fillId="0" borderId="0" xfId="1" applyFont="1" applyFill="1" applyBorder="1" applyAlignment="1">
      <alignment vertical="top"/>
    </xf>
    <xf numFmtId="0" fontId="3" fillId="0" borderId="0" xfId="3" quotePrefix="1" applyAlignment="1">
      <alignment horizontal="center" wrapText="1"/>
    </xf>
    <xf numFmtId="3" fontId="3" fillId="0" borderId="0" xfId="1" applyNumberFormat="1" applyFont="1" applyFill="1" applyBorder="1" applyAlignment="1"/>
    <xf numFmtId="3" fontId="3" fillId="0" borderId="14" xfId="1" applyNumberFormat="1" applyFont="1" applyBorder="1"/>
    <xf numFmtId="164" fontId="4" fillId="0" borderId="14" xfId="1" applyFont="1" applyFill="1" applyBorder="1" applyAlignment="1">
      <alignment horizontal="center"/>
    </xf>
    <xf numFmtId="164" fontId="4" fillId="0" borderId="14" xfId="1" quotePrefix="1" applyFont="1" applyFill="1" applyBorder="1" applyAlignment="1">
      <alignment horizontal="center"/>
    </xf>
    <xf numFmtId="165" fontId="3" fillId="0" borderId="14" xfId="3" applyNumberFormat="1" applyBorder="1" applyAlignment="1">
      <alignment wrapText="1"/>
    </xf>
    <xf numFmtId="164" fontId="3" fillId="0" borderId="8" xfId="1" applyFont="1" applyBorder="1"/>
    <xf numFmtId="3" fontId="3" fillId="0" borderId="0" xfId="1" applyNumberFormat="1" applyFont="1" applyBorder="1"/>
    <xf numFmtId="165" fontId="3" fillId="0" borderId="13" xfId="5" applyNumberFormat="1" applyFont="1" applyBorder="1"/>
    <xf numFmtId="165" fontId="4" fillId="0" borderId="14" xfId="5" applyNumberFormat="1" applyFont="1" applyBorder="1" applyAlignment="1">
      <alignment horizontal="left"/>
    </xf>
    <xf numFmtId="165" fontId="3" fillId="0" borderId="14" xfId="5" applyNumberFormat="1" applyFont="1" applyBorder="1"/>
    <xf numFmtId="165" fontId="4" fillId="0" borderId="14" xfId="5" applyNumberFormat="1" applyFont="1" applyBorder="1" applyAlignment="1">
      <alignment horizontal="center"/>
    </xf>
    <xf numFmtId="164" fontId="3" fillId="0" borderId="14" xfId="1" applyFont="1" applyFill="1" applyBorder="1" applyAlignment="1">
      <alignment horizontal="center"/>
    </xf>
    <xf numFmtId="164" fontId="3" fillId="0" borderId="13" xfId="1" applyFont="1" applyBorder="1" applyAlignment="1">
      <alignment horizontal="center"/>
    </xf>
    <xf numFmtId="43" fontId="4" fillId="0" borderId="14" xfId="3" applyNumberFormat="1" applyFont="1" applyBorder="1" applyAlignment="1">
      <alignment horizontal="center"/>
    </xf>
    <xf numFmtId="13" fontId="4" fillId="0" borderId="14" xfId="3" quotePrefix="1" applyNumberFormat="1" applyFont="1" applyBorder="1" applyAlignment="1">
      <alignment horizontal="center"/>
    </xf>
    <xf numFmtId="165" fontId="3" fillId="0" borderId="26" xfId="5" applyNumberFormat="1" applyFont="1" applyBorder="1" applyAlignment="1">
      <alignment horizontal="center"/>
    </xf>
    <xf numFmtId="164" fontId="3" fillId="0" borderId="26" xfId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167" fontId="4" fillId="0" borderId="25" xfId="1" applyNumberFormat="1" applyFont="1" applyBorder="1" applyAlignment="1">
      <alignment horizontal="right"/>
    </xf>
    <xf numFmtId="43" fontId="3" fillId="0" borderId="0" xfId="4" applyFont="1" applyFill="1" applyBorder="1" applyAlignment="1">
      <alignment horizontal="right"/>
    </xf>
    <xf numFmtId="3" fontId="4" fillId="0" borderId="14" xfId="1" applyNumberFormat="1" applyFont="1" applyFill="1" applyBorder="1" applyAlignment="1">
      <alignment horizontal="center"/>
    </xf>
    <xf numFmtId="3" fontId="4" fillId="0" borderId="14" xfId="1" quotePrefix="1" applyNumberFormat="1" applyFont="1" applyFill="1" applyBorder="1" applyAlignment="1">
      <alignment horizontal="center"/>
    </xf>
    <xf numFmtId="164" fontId="3" fillId="0" borderId="0" xfId="1" applyFont="1" applyFill="1" applyBorder="1" applyAlignment="1"/>
    <xf numFmtId="164" fontId="3" fillId="0" borderId="14" xfId="1" applyFont="1" applyFill="1" applyBorder="1"/>
    <xf numFmtId="165" fontId="4" fillId="0" borderId="14" xfId="5" quotePrefix="1" applyNumberFormat="1" applyFont="1" applyBorder="1" applyAlignment="1">
      <alignment horizontal="center"/>
    </xf>
    <xf numFmtId="167" fontId="3" fillId="0" borderId="14" xfId="1" applyNumberFormat="1" applyFont="1" applyBorder="1"/>
    <xf numFmtId="167" fontId="3" fillId="0" borderId="0" xfId="1" applyNumberFormat="1" applyFont="1" applyBorder="1"/>
    <xf numFmtId="167" fontId="3" fillId="0" borderId="14" xfId="1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67" fontId="3" fillId="0" borderId="14" xfId="1" applyNumberFormat="1" applyFont="1" applyBorder="1" applyAlignment="1">
      <alignment horizontal="center"/>
    </xf>
    <xf numFmtId="167" fontId="4" fillId="0" borderId="25" xfId="1" applyNumberFormat="1" applyFont="1" applyBorder="1" applyAlignment="1">
      <alignment horizontal="center"/>
    </xf>
    <xf numFmtId="167" fontId="4" fillId="0" borderId="21" xfId="1" applyNumberFormat="1" applyFont="1" applyBorder="1" applyAlignment="1">
      <alignment horizontal="right"/>
    </xf>
    <xf numFmtId="167" fontId="4" fillId="0" borderId="22" xfId="1" applyNumberFormat="1" applyFont="1" applyBorder="1" applyAlignment="1">
      <alignment horizontal="right"/>
    </xf>
    <xf numFmtId="167" fontId="4" fillId="0" borderId="14" xfId="1" applyNumberFormat="1" applyFont="1" applyBorder="1" applyAlignment="1">
      <alignment horizontal="left"/>
    </xf>
    <xf numFmtId="167" fontId="3" fillId="0" borderId="14" xfId="1" applyNumberFormat="1" applyFont="1" applyBorder="1" applyAlignment="1"/>
    <xf numFmtId="167" fontId="3" fillId="0" borderId="8" xfId="1" applyNumberFormat="1" applyFont="1" applyBorder="1" applyAlignment="1">
      <alignment horizontal="right"/>
    </xf>
    <xf numFmtId="167" fontId="3" fillId="0" borderId="13" xfId="1" applyNumberFormat="1" applyFont="1" applyBorder="1" applyAlignment="1">
      <alignment horizontal="right"/>
    </xf>
    <xf numFmtId="167" fontId="3" fillId="0" borderId="13" xfId="1" applyNumberFormat="1" applyFont="1" applyBorder="1"/>
    <xf numFmtId="167" fontId="4" fillId="0" borderId="14" xfId="1" applyNumberFormat="1" applyFont="1" applyFill="1" applyBorder="1" applyAlignment="1">
      <alignment horizontal="left"/>
    </xf>
    <xf numFmtId="167" fontId="3" fillId="0" borderId="14" xfId="1" applyNumberFormat="1" applyFont="1" applyFill="1" applyBorder="1" applyAlignment="1">
      <alignment wrapText="1"/>
    </xf>
    <xf numFmtId="167" fontId="3" fillId="0" borderId="14" xfId="1" applyNumberFormat="1" applyFont="1" applyFill="1" applyBorder="1" applyAlignment="1">
      <alignment horizontal="center"/>
    </xf>
    <xf numFmtId="167" fontId="3" fillId="0" borderId="14" xfId="1" applyNumberFormat="1" applyFont="1" applyFill="1" applyBorder="1" applyAlignment="1">
      <alignment vertical="center" wrapText="1"/>
    </xf>
    <xf numFmtId="167" fontId="4" fillId="0" borderId="0" xfId="1" applyNumberFormat="1" applyFont="1" applyBorder="1" applyAlignment="1">
      <alignment horizontal="right"/>
    </xf>
    <xf numFmtId="167" fontId="4" fillId="0" borderId="14" xfId="1" applyNumberFormat="1" applyFont="1" applyBorder="1" applyAlignment="1">
      <alignment horizontal="right"/>
    </xf>
    <xf numFmtId="167" fontId="4" fillId="0" borderId="14" xfId="1" applyNumberFormat="1" applyFont="1" applyBorder="1"/>
    <xf numFmtId="167" fontId="4" fillId="0" borderId="25" xfId="1" applyNumberFormat="1" applyFont="1" applyFill="1" applyBorder="1" applyAlignment="1">
      <alignment horizontal="center"/>
    </xf>
    <xf numFmtId="167" fontId="3" fillId="0" borderId="14" xfId="1" applyNumberFormat="1" applyFont="1" applyFill="1" applyBorder="1"/>
    <xf numFmtId="164" fontId="4" fillId="0" borderId="0" xfId="1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wrapText="1"/>
    </xf>
    <xf numFmtId="164" fontId="3" fillId="0" borderId="0" xfId="1" applyFont="1" applyFill="1" applyBorder="1" applyAlignment="1">
      <alignment horizontal="left"/>
    </xf>
    <xf numFmtId="164" fontId="3" fillId="0" borderId="0" xfId="1" applyFont="1" applyBorder="1" applyAlignment="1">
      <alignment horizontal="centerContinuous"/>
    </xf>
    <xf numFmtId="164" fontId="4" fillId="0" borderId="0" xfId="1" applyFont="1" applyBorder="1"/>
    <xf numFmtId="165" fontId="4" fillId="0" borderId="11" xfId="5" applyNumberFormat="1" applyFont="1" applyBorder="1" applyAlignment="1">
      <alignment horizontal="left"/>
    </xf>
    <xf numFmtId="164" fontId="3" fillId="0" borderId="11" xfId="1" applyFont="1" applyBorder="1" applyAlignment="1">
      <alignment horizontal="centerContinuous"/>
    </xf>
    <xf numFmtId="0" fontId="3" fillId="0" borderId="9" xfId="3" applyBorder="1" applyAlignment="1">
      <alignment horizontal="center"/>
    </xf>
    <xf numFmtId="43" fontId="4" fillId="0" borderId="13" xfId="3" applyNumberFormat="1" applyFont="1" applyBorder="1" applyAlignment="1">
      <alignment horizontal="center"/>
    </xf>
    <xf numFmtId="3" fontId="3" fillId="0" borderId="13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164" fontId="4" fillId="0" borderId="13" xfId="1" applyFont="1" applyFill="1" applyBorder="1" applyAlignment="1">
      <alignment horizontal="center"/>
    </xf>
    <xf numFmtId="38" fontId="3" fillId="0" borderId="12" xfId="1" applyNumberFormat="1" applyFont="1" applyFill="1" applyBorder="1" applyAlignment="1">
      <alignment horizontal="center"/>
    </xf>
    <xf numFmtId="3" fontId="3" fillId="0" borderId="14" xfId="1" applyNumberFormat="1" applyFont="1" applyFill="1" applyBorder="1" applyAlignment="1">
      <alignment horizontal="center"/>
    </xf>
    <xf numFmtId="43" fontId="4" fillId="0" borderId="14" xfId="3" quotePrefix="1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11" xfId="3" applyBorder="1" applyAlignment="1">
      <alignment horizontal="center"/>
    </xf>
    <xf numFmtId="43" fontId="3" fillId="0" borderId="26" xfId="3" applyNumberFormat="1" applyBorder="1" applyAlignment="1">
      <alignment horizontal="center"/>
    </xf>
    <xf numFmtId="3" fontId="3" fillId="0" borderId="26" xfId="1" applyNumberFormat="1" applyFont="1" applyFill="1" applyBorder="1" applyAlignment="1"/>
    <xf numFmtId="164" fontId="3" fillId="0" borderId="26" xfId="1" quotePrefix="1" applyFont="1" applyFill="1" applyBorder="1" applyAlignment="1"/>
    <xf numFmtId="38" fontId="3" fillId="0" borderId="11" xfId="4" quotePrefix="1" applyNumberFormat="1" applyFont="1" applyFill="1" applyBorder="1" applyAlignment="1">
      <alignment horizontal="center"/>
    </xf>
    <xf numFmtId="38" fontId="3" fillId="0" borderId="15" xfId="1" applyNumberFormat="1" applyFont="1" applyFill="1" applyBorder="1" applyAlignment="1">
      <alignment horizontal="center"/>
    </xf>
    <xf numFmtId="43" fontId="3" fillId="0" borderId="13" xfId="3" applyNumberFormat="1" applyBorder="1" applyAlignment="1">
      <alignment horizontal="center"/>
    </xf>
    <xf numFmtId="164" fontId="3" fillId="0" borderId="13" xfId="1" applyFont="1" applyFill="1" applyBorder="1" applyAlignment="1">
      <alignment horizontal="center"/>
    </xf>
    <xf numFmtId="43" fontId="3" fillId="0" borderId="14" xfId="3" applyNumberFormat="1" applyBorder="1" applyAlignment="1">
      <alignment horizontal="center"/>
    </xf>
    <xf numFmtId="167" fontId="3" fillId="0" borderId="14" xfId="1" applyNumberFormat="1" applyFont="1" applyFill="1" applyBorder="1" applyAlignment="1"/>
    <xf numFmtId="167" fontId="3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>
      <alignment horizontal="right" vertical="center"/>
    </xf>
    <xf numFmtId="167" fontId="4" fillId="0" borderId="22" xfId="1" applyNumberFormat="1" applyFont="1" applyFill="1" applyBorder="1" applyAlignment="1"/>
    <xf numFmtId="167" fontId="3" fillId="0" borderId="14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wrapText="1"/>
    </xf>
    <xf numFmtId="167" fontId="3" fillId="0" borderId="0" xfId="1" applyNumberFormat="1" applyFont="1" applyFill="1" applyBorder="1" applyAlignment="1">
      <alignment horizontal="right" wrapText="1"/>
    </xf>
    <xf numFmtId="167" fontId="4" fillId="0" borderId="14" xfId="1" applyNumberFormat="1" applyFont="1" applyFill="1" applyBorder="1" applyAlignment="1">
      <alignment horizontal="center"/>
    </xf>
    <xf numFmtId="0" fontId="4" fillId="0" borderId="14" xfId="1" applyNumberFormat="1" applyFont="1" applyFill="1" applyBorder="1" applyAlignment="1">
      <alignment horizontal="left" wrapText="1" indent="1"/>
    </xf>
    <xf numFmtId="0" fontId="3" fillId="0" borderId="14" xfId="1" applyNumberFormat="1" applyFont="1" applyFill="1" applyBorder="1" applyAlignment="1">
      <alignment horizontal="left" wrapText="1" indent="1"/>
    </xf>
    <xf numFmtId="0" fontId="4" fillId="0" borderId="26" xfId="1" applyNumberFormat="1" applyFont="1" applyFill="1" applyBorder="1" applyAlignment="1">
      <alignment horizontal="left" wrapText="1" indent="1"/>
    </xf>
    <xf numFmtId="0" fontId="3" fillId="0" borderId="13" xfId="1" applyNumberFormat="1" applyFont="1" applyFill="1" applyBorder="1" applyAlignment="1">
      <alignment horizontal="left" wrapText="1" indent="1"/>
    </xf>
    <xf numFmtId="0" fontId="3" fillId="0" borderId="0" xfId="1" applyNumberFormat="1" applyFont="1" applyFill="1" applyBorder="1" applyAlignment="1">
      <alignment horizontal="left" wrapText="1" indent="1"/>
    </xf>
    <xf numFmtId="0" fontId="4" fillId="0" borderId="14" xfId="1" applyNumberFormat="1" applyFont="1" applyFill="1" applyBorder="1" applyAlignment="1">
      <alignment horizontal="center" wrapText="1"/>
    </xf>
    <xf numFmtId="0" fontId="3" fillId="0" borderId="13" xfId="3" applyBorder="1"/>
    <xf numFmtId="0" fontId="3" fillId="0" borderId="26" xfId="3" applyBorder="1"/>
    <xf numFmtId="164" fontId="3" fillId="0" borderId="13" xfId="1" applyFont="1" applyFill="1" applyBorder="1"/>
    <xf numFmtId="164" fontId="3" fillId="0" borderId="26" xfId="1" applyFont="1" applyFill="1" applyBorder="1"/>
    <xf numFmtId="167" fontId="4" fillId="0" borderId="29" xfId="1" applyNumberFormat="1" applyFont="1" applyFill="1" applyBorder="1" applyAlignment="1"/>
    <xf numFmtId="0" fontId="3" fillId="0" borderId="14" xfId="3" applyBorder="1"/>
    <xf numFmtId="167" fontId="4" fillId="0" borderId="14" xfId="1" applyNumberFormat="1" applyFont="1" applyFill="1" applyBorder="1"/>
    <xf numFmtId="167" fontId="4" fillId="0" borderId="30" xfId="1" applyNumberFormat="1" applyFont="1" applyFill="1" applyBorder="1" applyAlignment="1"/>
    <xf numFmtId="38" fontId="3" fillId="0" borderId="8" xfId="4" applyNumberFormat="1" applyFont="1" applyFill="1" applyBorder="1" applyAlignment="1">
      <alignment horizontal="center"/>
    </xf>
    <xf numFmtId="38" fontId="3" fillId="0" borderId="20" xfId="1" applyNumberFormat="1" applyFont="1" applyFill="1" applyBorder="1" applyAlignment="1">
      <alignment horizontal="center"/>
    </xf>
    <xf numFmtId="0" fontId="3" fillId="0" borderId="8" xfId="3" applyBorder="1"/>
    <xf numFmtId="0" fontId="3" fillId="0" borderId="14" xfId="1" applyNumberFormat="1" applyFont="1" applyFill="1" applyBorder="1" applyAlignment="1">
      <alignment horizontal="left" vertical="center" wrapText="1" indent="1"/>
    </xf>
    <xf numFmtId="0" fontId="16" fillId="0" borderId="22" xfId="1" applyNumberFormat="1" applyFont="1" applyFill="1" applyBorder="1" applyAlignment="1">
      <alignment horizontal="left" wrapText="1" indent="1"/>
    </xf>
    <xf numFmtId="0" fontId="4" fillId="0" borderId="22" xfId="1" applyNumberFormat="1" applyFont="1" applyFill="1" applyBorder="1" applyAlignment="1">
      <alignment horizontal="left" wrapText="1" indent="1"/>
    </xf>
    <xf numFmtId="0" fontId="3" fillId="0" borderId="14" xfId="1" applyNumberFormat="1" applyFont="1" applyFill="1" applyBorder="1" applyAlignment="1">
      <alignment horizontal="left" vertical="justify" wrapText="1" indent="1"/>
    </xf>
    <xf numFmtId="0" fontId="4" fillId="0" borderId="14" xfId="1" applyNumberFormat="1" applyFont="1" applyFill="1" applyBorder="1" applyAlignment="1">
      <alignment horizontal="left" vertical="center" wrapText="1" indent="1"/>
    </xf>
    <xf numFmtId="0" fontId="17" fillId="0" borderId="14" xfId="1" applyNumberFormat="1" applyFont="1" applyFill="1" applyBorder="1" applyAlignment="1">
      <alignment horizontal="left" wrapText="1" indent="1"/>
    </xf>
    <xf numFmtId="0" fontId="4" fillId="0" borderId="14" xfId="1" quotePrefix="1" applyNumberFormat="1" applyFont="1" applyFill="1" applyBorder="1" applyAlignment="1">
      <alignment horizontal="left" wrapText="1" indent="1"/>
    </xf>
    <xf numFmtId="0" fontId="3" fillId="0" borderId="24" xfId="1" applyNumberFormat="1" applyFont="1" applyFill="1" applyBorder="1" applyAlignment="1">
      <alignment horizontal="left" wrapText="1" indent="1"/>
    </xf>
    <xf numFmtId="0" fontId="3" fillId="0" borderId="14" xfId="1" quotePrefix="1" applyNumberFormat="1" applyFont="1" applyFill="1" applyBorder="1" applyAlignment="1">
      <alignment horizontal="left" vertical="justify" wrapText="1" indent="1"/>
    </xf>
    <xf numFmtId="0" fontId="4" fillId="0" borderId="14" xfId="1" applyNumberFormat="1" applyFont="1" applyFill="1" applyBorder="1" applyAlignment="1">
      <alignment horizontal="left" vertical="justify" wrapText="1" indent="1"/>
    </xf>
    <xf numFmtId="0" fontId="3" fillId="0" borderId="23" xfId="1" applyNumberFormat="1" applyFont="1" applyFill="1" applyBorder="1" applyAlignment="1">
      <alignment horizontal="left" wrapText="1" indent="1"/>
    </xf>
    <xf numFmtId="167" fontId="4" fillId="0" borderId="31" xfId="1" applyNumberFormat="1" applyFont="1" applyFill="1" applyBorder="1" applyAlignment="1"/>
    <xf numFmtId="167" fontId="4" fillId="0" borderId="8" xfId="1" applyNumberFormat="1" applyFont="1" applyBorder="1" applyAlignment="1">
      <alignment horizontal="right" vertical="top"/>
    </xf>
    <xf numFmtId="167" fontId="4" fillId="0" borderId="0" xfId="1" quotePrefix="1" applyNumberFormat="1" applyFont="1" applyBorder="1" applyAlignment="1">
      <alignment horizontal="right" vertical="top"/>
    </xf>
    <xf numFmtId="167" fontId="4" fillId="0" borderId="0" xfId="1" quotePrefix="1" applyNumberFormat="1" applyFont="1" applyBorder="1" applyAlignment="1">
      <alignment vertical="top"/>
    </xf>
    <xf numFmtId="167" fontId="4" fillId="0" borderId="0" xfId="1" applyNumberFormat="1" applyFont="1" applyBorder="1" applyAlignment="1">
      <alignment vertical="top"/>
    </xf>
    <xf numFmtId="167" fontId="3" fillId="0" borderId="0" xfId="1" applyNumberFormat="1" applyFont="1" applyBorder="1" applyAlignment="1">
      <alignment vertical="top"/>
    </xf>
    <xf numFmtId="167" fontId="3" fillId="0" borderId="0" xfId="1" applyNumberFormat="1" applyFont="1" applyAlignment="1">
      <alignment vertical="top"/>
    </xf>
    <xf numFmtId="167" fontId="4" fillId="0" borderId="11" xfId="1" applyNumberFormat="1" applyFont="1" applyBorder="1" applyAlignment="1">
      <alignment vertical="top"/>
    </xf>
    <xf numFmtId="167" fontId="3" fillId="0" borderId="0" xfId="1" applyNumberFormat="1" applyFont="1" applyFill="1" applyBorder="1" applyAlignment="1">
      <alignment vertical="top"/>
    </xf>
    <xf numFmtId="167" fontId="3" fillId="0" borderId="11" xfId="1" applyNumberFormat="1" applyFont="1" applyBorder="1" applyAlignment="1">
      <alignment vertical="top"/>
    </xf>
    <xf numFmtId="167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top" wrapText="1"/>
    </xf>
    <xf numFmtId="167" fontId="4" fillId="0" borderId="20" xfId="1" applyNumberFormat="1" applyFont="1" applyBorder="1" applyAlignment="1">
      <alignment horizontal="right" vertical="top"/>
    </xf>
    <xf numFmtId="167" fontId="4" fillId="0" borderId="12" xfId="1" quotePrefix="1" applyNumberFormat="1" applyFont="1" applyBorder="1" applyAlignment="1">
      <alignment horizontal="right" vertical="top"/>
    </xf>
    <xf numFmtId="167" fontId="4" fillId="0" borderId="12" xfId="1" quotePrefix="1" applyNumberFormat="1" applyFont="1" applyBorder="1" applyAlignment="1">
      <alignment vertical="top"/>
    </xf>
    <xf numFmtId="167" fontId="4" fillId="0" borderId="12" xfId="1" applyNumberFormat="1" applyFont="1" applyBorder="1" applyAlignment="1">
      <alignment vertical="top"/>
    </xf>
    <xf numFmtId="167" fontId="3" fillId="0" borderId="12" xfId="1" applyNumberFormat="1" applyFont="1" applyBorder="1" applyAlignment="1">
      <alignment vertical="top"/>
    </xf>
    <xf numFmtId="167" fontId="4" fillId="0" borderId="32" xfId="1" applyNumberFormat="1" applyFont="1" applyBorder="1" applyAlignment="1">
      <alignment vertical="top"/>
    </xf>
    <xf numFmtId="167" fontId="4" fillId="0" borderId="15" xfId="1" applyNumberFormat="1" applyFont="1" applyBorder="1" applyAlignment="1">
      <alignment vertical="top"/>
    </xf>
    <xf numFmtId="38" fontId="4" fillId="0" borderId="7" xfId="6" applyNumberFormat="1" applyFont="1" applyBorder="1" applyAlignment="1">
      <alignment horizontal="right" vertical="top"/>
    </xf>
    <xf numFmtId="38" fontId="4" fillId="0" borderId="9" xfId="6" applyNumberFormat="1" applyFont="1" applyBorder="1" applyAlignment="1">
      <alignment horizontal="right" vertical="top"/>
    </xf>
    <xf numFmtId="164" fontId="3" fillId="0" borderId="9" xfId="1" applyFont="1" applyBorder="1" applyAlignment="1">
      <alignment vertical="center"/>
    </xf>
    <xf numFmtId="164" fontId="3" fillId="0" borderId="9" xfId="1" applyFont="1" applyBorder="1" applyAlignment="1">
      <alignment vertical="top"/>
    </xf>
    <xf numFmtId="164" fontId="3" fillId="0" borderId="9" xfId="1" quotePrefix="1" applyFont="1" applyBorder="1" applyAlignment="1">
      <alignment vertical="top"/>
    </xf>
    <xf numFmtId="164" fontId="3" fillId="0" borderId="9" xfId="1" applyFont="1" applyFill="1" applyBorder="1" applyAlignment="1">
      <alignment vertical="top"/>
    </xf>
    <xf numFmtId="164" fontId="3" fillId="0" borderId="9" xfId="1" quotePrefix="1" applyFont="1" applyFill="1" applyBorder="1" applyAlignment="1">
      <alignment vertical="top"/>
    </xf>
    <xf numFmtId="164" fontId="4" fillId="0" borderId="9" xfId="1" applyFont="1" applyBorder="1" applyAlignment="1">
      <alignment vertical="top"/>
    </xf>
    <xf numFmtId="167" fontId="3" fillId="0" borderId="12" xfId="1" applyNumberFormat="1" applyFont="1" applyFill="1" applyBorder="1" applyAlignment="1">
      <alignment vertical="top"/>
    </xf>
    <xf numFmtId="167" fontId="3" fillId="0" borderId="15" xfId="1" applyNumberFormat="1" applyFont="1" applyBorder="1" applyAlignment="1">
      <alignment vertical="top"/>
    </xf>
    <xf numFmtId="164" fontId="4" fillId="0" borderId="9" xfId="1" applyFont="1" applyFill="1" applyBorder="1" applyAlignment="1">
      <alignment vertical="top"/>
    </xf>
    <xf numFmtId="38" fontId="3" fillId="0" borderId="9" xfId="6" quotePrefix="1" applyNumberFormat="1" applyFont="1" applyFill="1" applyBorder="1" applyAlignment="1">
      <alignment vertical="top"/>
    </xf>
    <xf numFmtId="167" fontId="3" fillId="0" borderId="20" xfId="1" applyNumberFormat="1" applyFont="1" applyFill="1" applyBorder="1" applyAlignment="1">
      <alignment vertical="top"/>
    </xf>
    <xf numFmtId="38" fontId="4" fillId="0" borderId="7" xfId="6" applyNumberFormat="1" applyFont="1" applyFill="1" applyBorder="1" applyAlignment="1">
      <alignment vertical="top"/>
    </xf>
    <xf numFmtId="43" fontId="3" fillId="0" borderId="14" xfId="1" applyNumberFormat="1" applyFont="1" applyFill="1" applyBorder="1"/>
    <xf numFmtId="3" fontId="3" fillId="0" borderId="14" xfId="9" applyNumberFormat="1" applyFont="1" applyFill="1" applyBorder="1"/>
    <xf numFmtId="167" fontId="3" fillId="0" borderId="0" xfId="3" applyNumberFormat="1"/>
    <xf numFmtId="4" fontId="3" fillId="0" borderId="0" xfId="3" applyNumberFormat="1"/>
    <xf numFmtId="38" fontId="4" fillId="0" borderId="6" xfId="6" applyNumberFormat="1" applyFont="1" applyBorder="1" applyAlignment="1">
      <alignment horizontal="center" vertical="top"/>
    </xf>
    <xf numFmtId="0" fontId="11" fillId="0" borderId="5" xfId="7" quotePrefix="1" applyFont="1" applyBorder="1" applyAlignment="1">
      <alignment horizontal="center"/>
    </xf>
    <xf numFmtId="0" fontId="11" fillId="0" borderId="6" xfId="7" quotePrefix="1" applyFont="1" applyBorder="1" applyAlignment="1">
      <alignment horizontal="center"/>
    </xf>
    <xf numFmtId="164" fontId="3" fillId="0" borderId="12" xfId="1" applyFont="1" applyFill="1" applyBorder="1" applyAlignment="1">
      <alignment horizontal="left"/>
    </xf>
    <xf numFmtId="167" fontId="4" fillId="0" borderId="0" xfId="1" applyNumberFormat="1" applyFont="1" applyFill="1" applyBorder="1" applyAlignment="1">
      <alignment horizontal="right"/>
    </xf>
    <xf numFmtId="167" fontId="4" fillId="0" borderId="0" xfId="1" applyNumberFormat="1" applyFont="1" applyFill="1" applyBorder="1"/>
    <xf numFmtId="164" fontId="3" fillId="0" borderId="0" xfId="1" applyFont="1" applyFill="1" applyBorder="1" applyAlignment="1">
      <alignment horizontal="right"/>
    </xf>
    <xf numFmtId="43" fontId="3" fillId="0" borderId="0" xfId="4" applyFont="1" applyFill="1" applyBorder="1" applyAlignment="1">
      <alignment horizontal="left"/>
    </xf>
    <xf numFmtId="165" fontId="4" fillId="0" borderId="9" xfId="3" applyNumberFormat="1" applyFont="1" applyBorder="1" applyAlignment="1">
      <alignment horizontal="center"/>
    </xf>
    <xf numFmtId="165" fontId="4" fillId="0" borderId="0" xfId="3" applyNumberFormat="1" applyFont="1" applyAlignment="1">
      <alignment horizontal="center"/>
    </xf>
    <xf numFmtId="38" fontId="3" fillId="0" borderId="14" xfId="1" applyNumberFormat="1" applyFont="1" applyFill="1" applyBorder="1" applyAlignment="1"/>
    <xf numFmtId="38" fontId="3" fillId="0" borderId="14" xfId="1" applyNumberFormat="1" applyFont="1" applyFill="1" applyBorder="1" applyAlignment="1">
      <alignment wrapText="1"/>
    </xf>
    <xf numFmtId="38" fontId="3" fillId="0" borderId="14" xfId="1" applyNumberFormat="1" applyFont="1" applyFill="1" applyBorder="1" applyAlignment="1">
      <alignment vertical="center" wrapText="1"/>
    </xf>
    <xf numFmtId="38" fontId="4" fillId="0" borderId="22" xfId="1" applyNumberFormat="1" applyFont="1" applyFill="1" applyBorder="1" applyAlignment="1"/>
    <xf numFmtId="38" fontId="4" fillId="0" borderId="14" xfId="1" applyNumberFormat="1" applyFont="1" applyFill="1" applyBorder="1" applyAlignment="1">
      <alignment wrapText="1"/>
    </xf>
    <xf numFmtId="38" fontId="3" fillId="0" borderId="14" xfId="1" applyNumberFormat="1" applyFont="1" applyFill="1" applyBorder="1" applyAlignment="1" applyProtection="1"/>
    <xf numFmtId="38" fontId="3" fillId="0" borderId="14" xfId="1" applyNumberFormat="1" applyFont="1" applyFill="1" applyBorder="1" applyAlignment="1">
      <alignment vertical="center"/>
    </xf>
    <xf numFmtId="38" fontId="3" fillId="0" borderId="27" xfId="1" applyNumberFormat="1" applyFont="1" applyFill="1" applyBorder="1"/>
    <xf numFmtId="38" fontId="4" fillId="0" borderId="14" xfId="1" applyNumberFormat="1" applyFont="1" applyFill="1" applyBorder="1" applyAlignment="1"/>
    <xf numFmtId="38" fontId="3" fillId="0" borderId="14" xfId="1" applyNumberFormat="1" applyFont="1" applyFill="1" applyBorder="1" applyAlignment="1">
      <alignment horizontal="right"/>
    </xf>
    <xf numFmtId="38" fontId="3" fillId="0" borderId="9" xfId="1" applyNumberFormat="1" applyFont="1" applyFill="1" applyBorder="1" applyAlignment="1"/>
    <xf numFmtId="38" fontId="3" fillId="0" borderId="12" xfId="1" applyNumberFormat="1" applyFont="1" applyFill="1" applyBorder="1" applyAlignment="1"/>
    <xf numFmtId="38" fontId="3" fillId="0" borderId="14" xfId="1" applyNumberFormat="1" applyFont="1" applyFill="1" applyBorder="1"/>
    <xf numFmtId="38" fontId="3" fillId="0" borderId="23" xfId="1" applyNumberFormat="1" applyFont="1" applyFill="1" applyBorder="1" applyAlignment="1"/>
    <xf numFmtId="38" fontId="4" fillId="0" borderId="14" xfId="1" quotePrefix="1" applyNumberFormat="1" applyFont="1" applyFill="1" applyBorder="1" applyAlignment="1">
      <alignment wrapText="1"/>
    </xf>
    <xf numFmtId="38" fontId="3" fillId="0" borderId="0" xfId="1" applyNumberFormat="1" applyFont="1" applyFill="1" applyBorder="1" applyAlignment="1"/>
    <xf numFmtId="38" fontId="3" fillId="0" borderId="24" xfId="1" applyNumberFormat="1" applyFont="1" applyFill="1" applyBorder="1" applyAlignment="1">
      <alignment wrapText="1"/>
    </xf>
    <xf numFmtId="38" fontId="4" fillId="0" borderId="14" xfId="1" applyNumberFormat="1" applyFont="1" applyFill="1" applyBorder="1" applyAlignment="1">
      <alignment horizontal="center"/>
    </xf>
    <xf numFmtId="38" fontId="4" fillId="0" borderId="0" xfId="1" applyNumberFormat="1" applyFont="1" applyFill="1" applyBorder="1" applyAlignment="1">
      <alignment horizontal="center"/>
    </xf>
    <xf numFmtId="38" fontId="4" fillId="0" borderId="14" xfId="1" quotePrefix="1" applyNumberFormat="1" applyFont="1" applyFill="1" applyBorder="1" applyAlignment="1">
      <alignment horizontal="center"/>
    </xf>
    <xf numFmtId="38" fontId="4" fillId="0" borderId="0" xfId="1" quotePrefix="1" applyNumberFormat="1" applyFont="1" applyFill="1" applyBorder="1" applyAlignment="1">
      <alignment horizontal="center"/>
    </xf>
    <xf numFmtId="38" fontId="4" fillId="0" borderId="14" xfId="1" applyNumberFormat="1" applyFont="1" applyFill="1" applyBorder="1" applyAlignment="1">
      <alignment horizontal="right"/>
    </xf>
    <xf numFmtId="164" fontId="3" fillId="0" borderId="9" xfId="1" quotePrefix="1" applyFont="1" applyFill="1" applyBorder="1" applyAlignment="1">
      <alignment vertical="top" wrapText="1"/>
    </xf>
    <xf numFmtId="0" fontId="15" fillId="0" borderId="0" xfId="10">
      <alignment wrapText="1"/>
    </xf>
    <xf numFmtId="0" fontId="15" fillId="0" borderId="9" xfId="10" applyBorder="1" applyAlignment="1">
      <alignment horizontal="center"/>
    </xf>
    <xf numFmtId="168" fontId="15" fillId="0" borderId="0" xfId="6" applyNumberFormat="1" applyFont="1" applyFill="1" applyBorder="1" applyAlignment="1">
      <alignment wrapText="1"/>
    </xf>
    <xf numFmtId="0" fontId="15" fillId="0" borderId="12" xfId="10" applyBorder="1">
      <alignment wrapText="1"/>
    </xf>
    <xf numFmtId="0" fontId="15" fillId="0" borderId="10" xfId="10" applyBorder="1" applyAlignment="1">
      <alignment horizontal="center"/>
    </xf>
    <xf numFmtId="0" fontId="15" fillId="0" borderId="11" xfId="10" applyBorder="1">
      <alignment wrapText="1"/>
    </xf>
    <xf numFmtId="168" fontId="15" fillId="0" borderId="11" xfId="6" applyNumberFormat="1" applyFont="1" applyFill="1" applyBorder="1" applyAlignment="1">
      <alignment wrapText="1"/>
    </xf>
    <xf numFmtId="0" fontId="15" fillId="0" borderId="15" xfId="10" applyBorder="1">
      <alignment wrapText="1"/>
    </xf>
    <xf numFmtId="0" fontId="15" fillId="0" borderId="13" xfId="10" applyBorder="1" applyAlignment="1">
      <alignment horizontal="center"/>
    </xf>
    <xf numFmtId="0" fontId="15" fillId="0" borderId="8" xfId="10" applyBorder="1">
      <alignment wrapText="1"/>
    </xf>
    <xf numFmtId="0" fontId="15" fillId="0" borderId="20" xfId="10" applyBorder="1">
      <alignment wrapText="1"/>
    </xf>
    <xf numFmtId="168" fontId="15" fillId="0" borderId="8" xfId="6" applyNumberFormat="1" applyFont="1" applyFill="1" applyBorder="1" applyAlignment="1">
      <alignment wrapText="1"/>
    </xf>
    <xf numFmtId="0" fontId="4" fillId="0" borderId="14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4" fillId="0" borderId="12" xfId="10" applyFont="1" applyBorder="1" applyAlignment="1">
      <alignment horizontal="center"/>
    </xf>
    <xf numFmtId="168" fontId="4" fillId="0" borderId="0" xfId="6" applyNumberFormat="1" applyFont="1" applyFill="1" applyBorder="1" applyAlignment="1">
      <alignment horizontal="center"/>
    </xf>
    <xf numFmtId="0" fontId="15" fillId="0" borderId="26" xfId="10" applyBorder="1" applyAlignment="1">
      <alignment horizontal="center"/>
    </xf>
    <xf numFmtId="0" fontId="3" fillId="0" borderId="14" xfId="10" quotePrefix="1" applyFont="1" applyBorder="1" applyAlignment="1">
      <alignment horizontal="center" vertical="top"/>
    </xf>
    <xf numFmtId="0" fontId="3" fillId="0" borderId="0" xfId="10" applyFont="1" applyAlignment="1">
      <alignment vertical="top" wrapText="1"/>
    </xf>
    <xf numFmtId="0" fontId="3" fillId="0" borderId="12" xfId="10" applyFont="1" applyBorder="1" applyAlignment="1">
      <alignment vertical="top" wrapText="1"/>
    </xf>
    <xf numFmtId="168" fontId="3" fillId="0" borderId="0" xfId="6" applyNumberFormat="1" applyFont="1" applyFill="1" applyBorder="1" applyAlignment="1">
      <alignment vertical="top" wrapText="1"/>
    </xf>
    <xf numFmtId="0" fontId="3" fillId="0" borderId="14" xfId="10" applyFont="1" applyBorder="1" applyAlignment="1">
      <alignment horizontal="center" vertical="top"/>
    </xf>
    <xf numFmtId="40" fontId="10" fillId="0" borderId="0" xfId="6" applyFont="1" applyBorder="1" applyAlignment="1">
      <alignment vertical="top" wrapText="1"/>
    </xf>
    <xf numFmtId="40" fontId="10" fillId="0" borderId="0" xfId="6" applyFont="1" applyFill="1" applyBorder="1" applyAlignment="1">
      <alignment vertical="top" wrapText="1"/>
    </xf>
    <xf numFmtId="0" fontId="3" fillId="0" borderId="26" xfId="10" applyFont="1" applyBorder="1" applyAlignment="1">
      <alignment horizontal="center" vertical="top"/>
    </xf>
    <xf numFmtId="0" fontId="3" fillId="0" borderId="11" xfId="10" applyFont="1" applyBorder="1" applyAlignment="1">
      <alignment vertical="top" wrapText="1"/>
    </xf>
    <xf numFmtId="0" fontId="3" fillId="0" borderId="15" xfId="10" applyFont="1" applyBorder="1" applyAlignment="1">
      <alignment vertical="top" wrapText="1"/>
    </xf>
    <xf numFmtId="0" fontId="3" fillId="0" borderId="0" xfId="10" applyFont="1" applyAlignment="1">
      <alignment horizontal="center" vertical="top"/>
    </xf>
    <xf numFmtId="168" fontId="3" fillId="0" borderId="0" xfId="10" applyNumberFormat="1" applyFont="1" applyAlignment="1">
      <alignment vertical="top" wrapText="1"/>
    </xf>
    <xf numFmtId="0" fontId="4" fillId="0" borderId="14" xfId="10" applyFont="1" applyBorder="1" applyAlignment="1">
      <alignment horizontal="center" vertical="top"/>
    </xf>
    <xf numFmtId="0" fontId="4" fillId="0" borderId="0" xfId="10" applyFont="1" applyAlignment="1">
      <alignment vertical="top" wrapText="1"/>
    </xf>
    <xf numFmtId="0" fontId="4" fillId="0" borderId="12" xfId="10" applyFont="1" applyBorder="1" applyAlignment="1">
      <alignment vertical="top" wrapText="1"/>
    </xf>
    <xf numFmtId="168" fontId="18" fillId="0" borderId="0" xfId="6" applyNumberFormat="1" applyFont="1" applyFill="1" applyBorder="1" applyAlignment="1">
      <alignment vertical="top" wrapText="1"/>
    </xf>
    <xf numFmtId="168" fontId="4" fillId="0" borderId="0" xfId="10" applyNumberFormat="1" applyFont="1" applyAlignment="1">
      <alignment vertical="top" wrapText="1"/>
    </xf>
    <xf numFmtId="0" fontId="4" fillId="0" borderId="26" xfId="10" applyFont="1" applyBorder="1" applyAlignment="1">
      <alignment horizontal="center" vertical="top"/>
    </xf>
    <xf numFmtId="0" fontId="4" fillId="0" borderId="11" xfId="10" applyFont="1" applyBorder="1" applyAlignment="1">
      <alignment vertical="top" wrapText="1"/>
    </xf>
    <xf numFmtId="0" fontId="4" fillId="0" borderId="15" xfId="10" applyFont="1" applyBorder="1" applyAlignment="1">
      <alignment vertical="top" wrapText="1"/>
    </xf>
    <xf numFmtId="168" fontId="18" fillId="0" borderId="11" xfId="6" applyNumberFormat="1" applyFont="1" applyFill="1" applyBorder="1" applyAlignment="1">
      <alignment vertical="top" wrapText="1"/>
    </xf>
    <xf numFmtId="0" fontId="15" fillId="0" borderId="26" xfId="10" applyBorder="1" applyAlignment="1">
      <alignment horizontal="center" vertical="top"/>
    </xf>
    <xf numFmtId="0" fontId="15" fillId="0" borderId="11" xfId="10" applyBorder="1" applyAlignment="1">
      <alignment vertical="top" wrapText="1"/>
    </xf>
    <xf numFmtId="0" fontId="15" fillId="0" borderId="15" xfId="10" applyBorder="1" applyAlignment="1">
      <alignment vertical="top" wrapText="1"/>
    </xf>
    <xf numFmtId="168" fontId="15" fillId="0" borderId="11" xfId="6" applyNumberFormat="1" applyFont="1" applyFill="1" applyBorder="1" applyAlignment="1">
      <alignment vertical="top" wrapText="1"/>
    </xf>
    <xf numFmtId="0" fontId="15" fillId="0" borderId="0" xfId="10" applyAlignment="1">
      <alignment vertical="top" wrapText="1"/>
    </xf>
    <xf numFmtId="0" fontId="19" fillId="0" borderId="0" xfId="11" applyFont="1" applyAlignment="1">
      <alignment vertical="center"/>
    </xf>
    <xf numFmtId="8" fontId="15" fillId="0" borderId="0" xfId="10" applyNumberFormat="1">
      <alignment wrapText="1"/>
    </xf>
    <xf numFmtId="4" fontId="15" fillId="0" borderId="0" xfId="10" applyNumberFormat="1">
      <alignment wrapText="1"/>
    </xf>
    <xf numFmtId="40" fontId="19" fillId="0" borderId="0" xfId="6" applyFont="1" applyAlignment="1">
      <alignment vertical="center"/>
    </xf>
    <xf numFmtId="40" fontId="15" fillId="0" borderId="0" xfId="10" applyNumberFormat="1">
      <alignment wrapText="1"/>
    </xf>
    <xf numFmtId="0" fontId="19" fillId="0" borderId="0" xfId="11" applyFont="1"/>
    <xf numFmtId="0" fontId="15" fillId="0" borderId="14" xfId="10" applyBorder="1" applyAlignment="1">
      <alignment horizontal="center"/>
    </xf>
    <xf numFmtId="0" fontId="17" fillId="0" borderId="0" xfId="10" applyFont="1">
      <alignment wrapText="1"/>
    </xf>
    <xf numFmtId="0" fontId="17" fillId="0" borderId="0" xfId="10" applyFont="1" applyAlignment="1">
      <alignment horizontal="center" wrapText="1"/>
    </xf>
    <xf numFmtId="40" fontId="17" fillId="0" borderId="0" xfId="6" applyFont="1" applyFill="1" applyAlignment="1">
      <alignment wrapText="1"/>
    </xf>
    <xf numFmtId="0" fontId="17" fillId="0" borderId="0" xfId="10" applyFont="1" applyAlignment="1">
      <alignment horizontal="center"/>
    </xf>
    <xf numFmtId="0" fontId="16" fillId="0" borderId="0" xfId="10" applyFont="1" applyAlignment="1">
      <alignment horizontal="center" wrapText="1"/>
    </xf>
    <xf numFmtId="0" fontId="17" fillId="0" borderId="0" xfId="10" applyFont="1" applyAlignment="1">
      <alignment horizontal="right"/>
    </xf>
    <xf numFmtId="40" fontId="16" fillId="0" borderId="0" xfId="6" applyFont="1" applyFill="1" applyAlignment="1">
      <alignment wrapText="1"/>
    </xf>
    <xf numFmtId="0" fontId="16" fillId="0" borderId="0" xfId="10" applyFont="1">
      <alignment wrapText="1"/>
    </xf>
    <xf numFmtId="0" fontId="17" fillId="0" borderId="0" xfId="10" quotePrefix="1" applyFont="1" applyAlignment="1">
      <alignment horizontal="right"/>
    </xf>
    <xf numFmtId="40" fontId="16" fillId="0" borderId="0" xfId="6" applyFont="1" applyFill="1" applyAlignment="1">
      <alignment horizontal="left" wrapText="1"/>
    </xf>
    <xf numFmtId="0" fontId="16" fillId="0" borderId="0" xfId="10" applyFont="1" applyAlignment="1">
      <alignment horizontal="left" wrapText="1"/>
    </xf>
    <xf numFmtId="0" fontId="16" fillId="0" borderId="0" xfId="10" applyFont="1" applyAlignment="1">
      <alignment horizontal="center"/>
    </xf>
    <xf numFmtId="0" fontId="3" fillId="0" borderId="11" xfId="3" applyBorder="1" applyAlignment="1">
      <alignment horizontal="left"/>
    </xf>
    <xf numFmtId="38" fontId="3" fillId="0" borderId="26" xfId="1" applyNumberFormat="1" applyFont="1" applyFill="1" applyBorder="1" applyAlignment="1"/>
    <xf numFmtId="167" fontId="3" fillId="0" borderId="11" xfId="1" applyNumberFormat="1" applyFont="1" applyFill="1" applyBorder="1" applyAlignment="1">
      <alignment horizontal="right"/>
    </xf>
    <xf numFmtId="167" fontId="3" fillId="0" borderId="11" xfId="1" applyNumberFormat="1" applyFont="1" applyFill="1" applyBorder="1"/>
    <xf numFmtId="167" fontId="3" fillId="0" borderId="26" xfId="1" applyNumberFormat="1" applyFont="1" applyFill="1" applyBorder="1"/>
    <xf numFmtId="0" fontId="3" fillId="0" borderId="11" xfId="3" applyBorder="1"/>
    <xf numFmtId="0" fontId="3" fillId="0" borderId="11" xfId="3" quotePrefix="1" applyBorder="1" applyAlignment="1">
      <alignment horizontal="left"/>
    </xf>
    <xf numFmtId="0" fontId="3" fillId="0" borderId="11" xfId="3" quotePrefix="1" applyBorder="1" applyAlignment="1">
      <alignment horizontal="center"/>
    </xf>
    <xf numFmtId="0" fontId="3" fillId="0" borderId="26" xfId="1" applyNumberFormat="1" applyFont="1" applyFill="1" applyBorder="1" applyAlignment="1">
      <alignment horizontal="left" wrapText="1" indent="1"/>
    </xf>
    <xf numFmtId="0" fontId="3" fillId="0" borderId="11" xfId="3" quotePrefix="1" applyBorder="1"/>
    <xf numFmtId="0" fontId="3" fillId="0" borderId="26" xfId="1" applyNumberFormat="1" applyFont="1" applyFill="1" applyBorder="1" applyAlignment="1">
      <alignment horizontal="left" vertical="center" wrapText="1" indent="1"/>
    </xf>
    <xf numFmtId="38" fontId="4" fillId="0" borderId="26" xfId="1" applyNumberFormat="1" applyFont="1" applyFill="1" applyBorder="1" applyAlignment="1">
      <alignment wrapText="1"/>
    </xf>
    <xf numFmtId="167" fontId="3" fillId="0" borderId="8" xfId="1" applyNumberFormat="1" applyFont="1" applyFill="1" applyBorder="1" applyAlignment="1">
      <alignment vertical="top"/>
    </xf>
    <xf numFmtId="164" fontId="4" fillId="0" borderId="10" xfId="1" applyFont="1" applyBorder="1" applyAlignment="1">
      <alignment vertical="top"/>
    </xf>
    <xf numFmtId="164" fontId="4" fillId="0" borderId="0" xfId="1" applyFont="1" applyAlignment="1">
      <alignment vertical="top"/>
    </xf>
    <xf numFmtId="164" fontId="4" fillId="0" borderId="11" xfId="1" applyFont="1" applyBorder="1" applyAlignment="1">
      <alignment vertical="top"/>
    </xf>
    <xf numFmtId="165" fontId="4" fillId="0" borderId="8" xfId="3" applyNumberFormat="1" applyFont="1" applyBorder="1" applyAlignment="1">
      <alignment horizontal="center"/>
    </xf>
    <xf numFmtId="0" fontId="11" fillId="0" borderId="6" xfId="7" applyFont="1" applyBorder="1" applyAlignment="1">
      <alignment horizontal="center"/>
    </xf>
    <xf numFmtId="164" fontId="10" fillId="0" borderId="0" xfId="1" applyFont="1" applyFill="1" applyBorder="1"/>
    <xf numFmtId="164" fontId="3" fillId="0" borderId="12" xfId="1" applyFont="1" applyBorder="1" applyAlignment="1">
      <alignment horizontal="right"/>
    </xf>
    <xf numFmtId="164" fontId="4" fillId="0" borderId="12" xfId="1" applyFont="1" applyBorder="1" applyAlignment="1">
      <alignment vertical="top"/>
    </xf>
    <xf numFmtId="164" fontId="3" fillId="0" borderId="12" xfId="1" applyFont="1" applyBorder="1" applyAlignment="1">
      <alignment vertical="top"/>
    </xf>
    <xf numFmtId="164" fontId="3" fillId="0" borderId="12" xfId="1" applyFont="1" applyBorder="1" applyAlignment="1">
      <alignment vertical="center"/>
    </xf>
    <xf numFmtId="164" fontId="3" fillId="0" borderId="12" xfId="1" applyFont="1" applyFill="1" applyBorder="1" applyAlignment="1">
      <alignment wrapText="1"/>
    </xf>
    <xf numFmtId="164" fontId="3" fillId="0" borderId="12" xfId="1" applyFont="1" applyFill="1" applyBorder="1" applyAlignment="1">
      <alignment horizontal="right"/>
    </xf>
    <xf numFmtId="164" fontId="3" fillId="0" borderId="12" xfId="1" applyFont="1" applyFill="1" applyBorder="1" applyAlignment="1">
      <alignment vertical="top"/>
    </xf>
    <xf numFmtId="164" fontId="4" fillId="0" borderId="12" xfId="1" applyFont="1" applyFill="1" applyBorder="1" applyAlignment="1">
      <alignment vertical="top"/>
    </xf>
    <xf numFmtId="164" fontId="3" fillId="0" borderId="12" xfId="1" applyFont="1" applyFill="1" applyBorder="1" applyAlignment="1">
      <alignment horizontal="center"/>
    </xf>
    <xf numFmtId="164" fontId="4" fillId="0" borderId="32" xfId="1" applyFont="1" applyBorder="1" applyAlignment="1">
      <alignment vertical="top"/>
    </xf>
    <xf numFmtId="164" fontId="4" fillId="0" borderId="19" xfId="1" applyFont="1" applyBorder="1" applyAlignment="1">
      <alignment vertical="top"/>
    </xf>
    <xf numFmtId="164" fontId="4" fillId="0" borderId="17" xfId="1" applyFont="1" applyFill="1" applyBorder="1" applyAlignment="1">
      <alignment vertical="top"/>
    </xf>
    <xf numFmtId="164" fontId="4" fillId="0" borderId="11" xfId="1" applyFont="1" applyFill="1" applyBorder="1" applyAlignment="1">
      <alignment vertical="top"/>
    </xf>
    <xf numFmtId="164" fontId="3" fillId="0" borderId="0" xfId="1" applyFont="1" applyFill="1" applyBorder="1" applyAlignment="1">
      <alignment vertical="top"/>
    </xf>
    <xf numFmtId="164" fontId="3" fillId="0" borderId="0" xfId="1" applyFont="1" applyFill="1" applyBorder="1" applyAlignment="1">
      <alignment horizontal="right" vertical="center" wrapText="1"/>
    </xf>
    <xf numFmtId="164" fontId="3" fillId="0" borderId="0" xfId="1" applyFont="1" applyBorder="1" applyAlignment="1">
      <alignment horizontal="right" vertical="top"/>
    </xf>
    <xf numFmtId="38" fontId="3" fillId="0" borderId="0" xfId="6" applyNumberFormat="1" applyFont="1" applyFill="1" applyBorder="1" applyAlignment="1">
      <alignment vertical="top" wrapText="1"/>
    </xf>
    <xf numFmtId="38" fontId="3" fillId="0" borderId="11" xfId="6" applyNumberFormat="1" applyFont="1" applyFill="1" applyBorder="1" applyAlignment="1">
      <alignment vertical="top" wrapText="1"/>
    </xf>
    <xf numFmtId="164" fontId="10" fillId="2" borderId="12" xfId="1" applyFont="1" applyFill="1" applyBorder="1"/>
    <xf numFmtId="164" fontId="10" fillId="0" borderId="12" xfId="1" applyFont="1" applyBorder="1"/>
    <xf numFmtId="164" fontId="11" fillId="0" borderId="32" xfId="1" applyFont="1" applyBorder="1"/>
    <xf numFmtId="164" fontId="10" fillId="0" borderId="12" xfId="1" applyFont="1" applyFill="1" applyBorder="1"/>
    <xf numFmtId="164" fontId="11" fillId="0" borderId="12" xfId="1" applyFont="1" applyBorder="1"/>
    <xf numFmtId="40" fontId="21" fillId="0" borderId="12" xfId="1" applyNumberFormat="1" applyFont="1" applyBorder="1"/>
    <xf numFmtId="165" fontId="4" fillId="0" borderId="26" xfId="3" applyNumberFormat="1" applyFont="1" applyBorder="1" applyAlignment="1">
      <alignment wrapText="1"/>
    </xf>
    <xf numFmtId="38" fontId="3" fillId="0" borderId="0" xfId="1" applyNumberFormat="1" applyFont="1" applyFill="1" applyBorder="1"/>
    <xf numFmtId="38" fontId="4" fillId="0" borderId="22" xfId="1" applyNumberFormat="1" applyFont="1" applyFill="1" applyBorder="1" applyAlignment="1">
      <alignment horizontal="right"/>
    </xf>
    <xf numFmtId="167" fontId="4" fillId="0" borderId="22" xfId="1" applyNumberFormat="1" applyFont="1" applyFill="1" applyBorder="1" applyAlignment="1">
      <alignment horizontal="right"/>
    </xf>
    <xf numFmtId="167" fontId="4" fillId="0" borderId="29" xfId="1" applyNumberFormat="1" applyFont="1" applyFill="1" applyBorder="1" applyAlignment="1">
      <alignment horizontal="right"/>
    </xf>
    <xf numFmtId="38" fontId="3" fillId="0" borderId="26" xfId="1" applyNumberFormat="1" applyFont="1" applyFill="1" applyBorder="1" applyAlignment="1">
      <alignment horizontal="right"/>
    </xf>
    <xf numFmtId="38" fontId="4" fillId="0" borderId="22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38" fontId="3" fillId="0" borderId="22" xfId="1" applyNumberFormat="1" applyFont="1" applyFill="1" applyBorder="1" applyAlignment="1"/>
    <xf numFmtId="38" fontId="4" fillId="0" borderId="22" xfId="1" applyNumberFormat="1" applyFont="1" applyFill="1" applyBorder="1" applyAlignment="1" applyProtection="1"/>
    <xf numFmtId="167" fontId="4" fillId="0" borderId="22" xfId="1" applyNumberFormat="1" applyFont="1" applyFill="1" applyBorder="1" applyAlignment="1" applyProtection="1"/>
    <xf numFmtId="167" fontId="4" fillId="0" borderId="29" xfId="1" applyNumberFormat="1" applyFont="1" applyFill="1" applyBorder="1" applyAlignment="1" applyProtection="1"/>
    <xf numFmtId="167" fontId="3" fillId="0" borderId="14" xfId="1" applyNumberFormat="1" applyFont="1" applyFill="1" applyBorder="1" applyAlignment="1">
      <alignment vertical="center"/>
    </xf>
    <xf numFmtId="38" fontId="4" fillId="0" borderId="22" xfId="1" applyNumberFormat="1" applyFont="1" applyFill="1" applyBorder="1" applyAlignment="1">
      <alignment vertical="center"/>
    </xf>
    <xf numFmtId="167" fontId="4" fillId="0" borderId="22" xfId="1" applyNumberFormat="1" applyFont="1" applyFill="1" applyBorder="1" applyAlignment="1">
      <alignment vertical="center"/>
    </xf>
    <xf numFmtId="167" fontId="4" fillId="0" borderId="29" xfId="1" applyNumberFormat="1" applyFont="1" applyFill="1" applyBorder="1" applyAlignment="1">
      <alignment vertical="center"/>
    </xf>
    <xf numFmtId="38" fontId="3" fillId="0" borderId="14" xfId="1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/>
    <xf numFmtId="167" fontId="3" fillId="0" borderId="29" xfId="1" applyNumberFormat="1" applyFont="1" applyFill="1" applyBorder="1" applyAlignment="1"/>
    <xf numFmtId="38" fontId="3" fillId="0" borderId="14" xfId="1" applyNumberFormat="1" applyFont="1" applyFill="1" applyBorder="1" applyAlignment="1" applyProtection="1">
      <alignment horizontal="right"/>
    </xf>
    <xf numFmtId="38" fontId="4" fillId="0" borderId="23" xfId="1" applyNumberFormat="1" applyFont="1" applyFill="1" applyBorder="1" applyAlignment="1"/>
    <xf numFmtId="167" fontId="4" fillId="0" borderId="23" xfId="1" applyNumberFormat="1" applyFont="1" applyFill="1" applyBorder="1" applyAlignment="1"/>
    <xf numFmtId="167" fontId="4" fillId="0" borderId="36" xfId="1" applyNumberFormat="1" applyFont="1" applyFill="1" applyBorder="1" applyAlignment="1"/>
    <xf numFmtId="38" fontId="4" fillId="0" borderId="23" xfId="1" applyNumberFormat="1" applyFont="1" applyFill="1" applyBorder="1" applyAlignment="1" applyProtection="1"/>
    <xf numFmtId="167" fontId="4" fillId="0" borderId="23" xfId="1" applyNumberFormat="1" applyFont="1" applyFill="1" applyBorder="1" applyAlignment="1" applyProtection="1"/>
    <xf numFmtId="167" fontId="4" fillId="0" borderId="36" xfId="1" applyNumberFormat="1" applyFont="1" applyFill="1" applyBorder="1" applyAlignment="1" applyProtection="1"/>
    <xf numFmtId="0" fontId="3" fillId="0" borderId="6" xfId="3" applyBorder="1" applyAlignment="1">
      <alignment horizontal="left"/>
    </xf>
    <xf numFmtId="0" fontId="3" fillId="0" borderId="6" xfId="3" quotePrefix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25" xfId="1" applyNumberFormat="1" applyFont="1" applyFill="1" applyBorder="1" applyAlignment="1">
      <alignment horizontal="left" wrapText="1" indent="1"/>
    </xf>
    <xf numFmtId="38" fontId="3" fillId="0" borderId="25" xfId="1" applyNumberFormat="1" applyFont="1" applyFill="1" applyBorder="1" applyAlignment="1"/>
    <xf numFmtId="167" fontId="3" fillId="0" borderId="6" xfId="1" applyNumberFormat="1" applyFont="1" applyFill="1" applyBorder="1" applyAlignment="1">
      <alignment horizontal="right"/>
    </xf>
    <xf numFmtId="167" fontId="3" fillId="0" borderId="6" xfId="1" applyNumberFormat="1" applyFont="1" applyFill="1" applyBorder="1"/>
    <xf numFmtId="167" fontId="3" fillId="0" borderId="25" xfId="1" applyNumberFormat="1" applyFont="1" applyFill="1" applyBorder="1"/>
    <xf numFmtId="0" fontId="3" fillId="0" borderId="6" xfId="3" applyBorder="1"/>
    <xf numFmtId="38" fontId="3" fillId="0" borderId="26" xfId="1" applyNumberFormat="1" applyFont="1" applyFill="1" applyBorder="1" applyAlignment="1">
      <alignment wrapText="1"/>
    </xf>
    <xf numFmtId="38" fontId="3" fillId="0" borderId="25" xfId="1" applyNumberFormat="1" applyFont="1" applyFill="1" applyBorder="1" applyAlignment="1">
      <alignment horizontal="right"/>
    </xf>
    <xf numFmtId="38" fontId="3" fillId="0" borderId="25" xfId="1" applyNumberFormat="1" applyFont="1" applyFill="1" applyBorder="1" applyAlignment="1">
      <alignment wrapText="1"/>
    </xf>
    <xf numFmtId="164" fontId="11" fillId="0" borderId="0" xfId="1" quotePrefix="1" applyFont="1" applyBorder="1"/>
    <xf numFmtId="167" fontId="4" fillId="3" borderId="25" xfId="1" applyNumberFormat="1" applyFont="1" applyFill="1" applyBorder="1" applyAlignment="1">
      <alignment horizontal="center"/>
    </xf>
    <xf numFmtId="167" fontId="4" fillId="3" borderId="25" xfId="1" applyNumberFormat="1" applyFont="1" applyFill="1" applyBorder="1" applyAlignment="1">
      <alignment horizontal="right"/>
    </xf>
    <xf numFmtId="38" fontId="4" fillId="3" borderId="30" xfId="1" applyNumberFormat="1" applyFont="1" applyFill="1" applyBorder="1" applyAlignment="1">
      <alignment horizontal="right"/>
    </xf>
    <xf numFmtId="38" fontId="4" fillId="3" borderId="30" xfId="1" applyNumberFormat="1" applyFont="1" applyFill="1" applyBorder="1" applyAlignment="1"/>
    <xf numFmtId="0" fontId="3" fillId="0" borderId="31" xfId="1" applyNumberFormat="1" applyFont="1" applyFill="1" applyBorder="1" applyAlignment="1">
      <alignment horizontal="left" wrapText="1" indent="1"/>
    </xf>
    <xf numFmtId="167" fontId="4" fillId="4" borderId="14" xfId="1" applyNumberFormat="1" applyFont="1" applyFill="1" applyBorder="1" applyAlignment="1">
      <alignment horizontal="center"/>
    </xf>
    <xf numFmtId="167" fontId="4" fillId="4" borderId="25" xfId="1" applyNumberFormat="1" applyFont="1" applyFill="1" applyBorder="1" applyAlignment="1"/>
    <xf numFmtId="167" fontId="4" fillId="4" borderId="25" xfId="1" applyNumberFormat="1" applyFont="1" applyFill="1" applyBorder="1" applyAlignment="1">
      <alignment horizontal="left"/>
    </xf>
    <xf numFmtId="167" fontId="4" fillId="4" borderId="25" xfId="1" applyNumberFormat="1" applyFont="1" applyFill="1" applyBorder="1" applyAlignment="1">
      <alignment horizontal="center"/>
    </xf>
    <xf numFmtId="38" fontId="4" fillId="5" borderId="22" xfId="1" applyNumberFormat="1" applyFont="1" applyFill="1" applyBorder="1" applyAlignment="1">
      <alignment horizontal="right"/>
    </xf>
    <xf numFmtId="38" fontId="4" fillId="5" borderId="22" xfId="1" applyNumberFormat="1" applyFont="1" applyFill="1" applyBorder="1" applyAlignment="1"/>
    <xf numFmtId="38" fontId="4" fillId="5" borderId="22" xfId="1" applyNumberFormat="1" applyFont="1" applyFill="1" applyBorder="1" applyAlignment="1">
      <alignment horizontal="center"/>
    </xf>
    <xf numFmtId="0" fontId="4" fillId="5" borderId="22" xfId="1" applyNumberFormat="1" applyFont="1" applyFill="1" applyBorder="1" applyAlignment="1">
      <alignment horizontal="left" wrapText="1" indent="1"/>
    </xf>
    <xf numFmtId="0" fontId="4" fillId="5" borderId="22" xfId="1" applyNumberFormat="1" applyFont="1" applyFill="1" applyBorder="1" applyAlignment="1">
      <alignment horizontal="left" vertical="center" wrapText="1" indent="1"/>
    </xf>
    <xf numFmtId="0" fontId="4" fillId="5" borderId="23" xfId="1" applyNumberFormat="1" applyFont="1" applyFill="1" applyBorder="1" applyAlignment="1">
      <alignment horizontal="left" wrapText="1" indent="1"/>
    </xf>
    <xf numFmtId="38" fontId="4" fillId="5" borderId="23" xfId="1" applyNumberFormat="1" applyFont="1" applyFill="1" applyBorder="1" applyAlignment="1" applyProtection="1"/>
    <xf numFmtId="38" fontId="4" fillId="5" borderId="22" xfId="1" applyNumberFormat="1" applyFont="1" applyFill="1" applyBorder="1" applyAlignment="1">
      <alignment vertical="center"/>
    </xf>
    <xf numFmtId="38" fontId="4" fillId="5" borderId="22" xfId="1" applyNumberFormat="1" applyFont="1" applyFill="1" applyBorder="1" applyAlignment="1" applyProtection="1"/>
    <xf numFmtId="0" fontId="4" fillId="5" borderId="23" xfId="1" applyNumberFormat="1" applyFont="1" applyFill="1" applyBorder="1" applyAlignment="1">
      <alignment horizontal="left" vertical="center" wrapText="1" indent="1"/>
    </xf>
    <xf numFmtId="38" fontId="4" fillId="5" borderId="23" xfId="1" applyNumberFormat="1" applyFont="1" applyFill="1" applyBorder="1" applyAlignment="1"/>
    <xf numFmtId="0" fontId="17" fillId="0" borderId="0" xfId="10" applyFont="1" applyAlignment="1">
      <alignment horizontal="left" wrapText="1"/>
    </xf>
    <xf numFmtId="0" fontId="16" fillId="0" borderId="0" xfId="10" applyFont="1" applyAlignment="1">
      <alignment horizontal="center"/>
    </xf>
    <xf numFmtId="40" fontId="16" fillId="0" borderId="0" xfId="6" applyFont="1" applyFill="1" applyAlignment="1">
      <alignment horizontal="left" wrapText="1"/>
    </xf>
    <xf numFmtId="0" fontId="16" fillId="0" borderId="0" xfId="10" applyFont="1" applyAlignment="1">
      <alignment horizontal="left" wrapText="1"/>
    </xf>
    <xf numFmtId="165" fontId="4" fillId="0" borderId="1" xfId="5" applyNumberFormat="1" applyFont="1" applyBorder="1" applyAlignment="1">
      <alignment horizontal="center"/>
    </xf>
    <xf numFmtId="165" fontId="4" fillId="0" borderId="2" xfId="5" applyNumberFormat="1" applyFont="1" applyBorder="1" applyAlignment="1">
      <alignment horizontal="center"/>
    </xf>
    <xf numFmtId="165" fontId="4" fillId="0" borderId="18" xfId="5" applyNumberFormat="1" applyFont="1" applyBorder="1" applyAlignment="1">
      <alignment horizontal="center"/>
    </xf>
    <xf numFmtId="165" fontId="4" fillId="0" borderId="3" xfId="5" applyNumberFormat="1" applyFont="1" applyBorder="1" applyAlignment="1">
      <alignment horizontal="center"/>
    </xf>
    <xf numFmtId="165" fontId="4" fillId="0" borderId="4" xfId="5" applyNumberFormat="1" applyFont="1" applyBorder="1" applyAlignment="1">
      <alignment horizontal="center"/>
    </xf>
    <xf numFmtId="165" fontId="4" fillId="0" borderId="19" xfId="5" applyNumberFormat="1" applyFont="1" applyBorder="1" applyAlignment="1">
      <alignment horizontal="center"/>
    </xf>
    <xf numFmtId="165" fontId="4" fillId="0" borderId="5" xfId="5" applyNumberFormat="1" applyFont="1" applyBorder="1" applyAlignment="1">
      <alignment horizontal="center"/>
    </xf>
    <xf numFmtId="165" fontId="4" fillId="0" borderId="6" xfId="5" applyNumberFormat="1" applyFont="1" applyBorder="1" applyAlignment="1">
      <alignment horizontal="center"/>
    </xf>
    <xf numFmtId="165" fontId="4" fillId="0" borderId="16" xfId="5" applyNumberFormat="1" applyFont="1" applyBorder="1" applyAlignment="1">
      <alignment horizontal="center"/>
    </xf>
    <xf numFmtId="165" fontId="4" fillId="0" borderId="10" xfId="5" applyNumberFormat="1" applyFont="1" applyBorder="1" applyAlignment="1">
      <alignment horizontal="center"/>
    </xf>
    <xf numFmtId="165" fontId="4" fillId="0" borderId="11" xfId="5" applyNumberFormat="1" applyFont="1" applyBorder="1" applyAlignment="1">
      <alignment horizontal="center"/>
    </xf>
    <xf numFmtId="165" fontId="4" fillId="0" borderId="15" xfId="5" applyNumberFormat="1" applyFont="1" applyBorder="1" applyAlignment="1">
      <alignment horizontal="center"/>
    </xf>
    <xf numFmtId="165" fontId="4" fillId="0" borderId="9" xfId="5" applyNumberFormat="1" applyFont="1" applyBorder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12" xfId="5" applyNumberFormat="1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4" fillId="0" borderId="3" xfId="3" applyNumberFormat="1" applyFont="1" applyBorder="1" applyAlignment="1">
      <alignment horizontal="center"/>
    </xf>
    <xf numFmtId="165" fontId="4" fillId="0" borderId="4" xfId="3" applyNumberFormat="1" applyFont="1" applyBorder="1" applyAlignment="1">
      <alignment horizontal="center"/>
    </xf>
    <xf numFmtId="165" fontId="4" fillId="0" borderId="5" xfId="3" applyNumberFormat="1" applyFont="1" applyBorder="1" applyAlignment="1">
      <alignment horizontal="center"/>
    </xf>
    <xf numFmtId="165" fontId="4" fillId="0" borderId="6" xfId="3" applyNumberFormat="1" applyFont="1" applyBorder="1" applyAlignment="1">
      <alignment horizontal="center"/>
    </xf>
    <xf numFmtId="165" fontId="4" fillId="0" borderId="8" xfId="3" applyNumberFormat="1" applyFont="1" applyBorder="1" applyAlignment="1">
      <alignment horizontal="center"/>
    </xf>
    <xf numFmtId="38" fontId="4" fillId="0" borderId="10" xfId="6" applyNumberFormat="1" applyFont="1" applyFill="1" applyBorder="1" applyAlignment="1">
      <alignment horizontal="center" vertical="top"/>
    </xf>
    <xf numFmtId="38" fontId="4" fillId="0" borderId="11" xfId="6" applyNumberFormat="1" applyFont="1" applyFill="1" applyBorder="1" applyAlignment="1">
      <alignment horizontal="center" vertical="top"/>
    </xf>
    <xf numFmtId="38" fontId="4" fillId="0" borderId="15" xfId="6" applyNumberFormat="1" applyFont="1" applyFill="1" applyBorder="1" applyAlignment="1">
      <alignment horizontal="center" vertical="top"/>
    </xf>
    <xf numFmtId="38" fontId="4" fillId="0" borderId="5" xfId="6" applyNumberFormat="1" applyFont="1" applyFill="1" applyBorder="1" applyAlignment="1">
      <alignment horizontal="center" vertical="top"/>
    </xf>
    <xf numFmtId="38" fontId="4" fillId="0" borderId="6" xfId="6" applyNumberFormat="1" applyFont="1" applyFill="1" applyBorder="1" applyAlignment="1">
      <alignment horizontal="center" vertical="top"/>
    </xf>
    <xf numFmtId="38" fontId="4" fillId="0" borderId="16" xfId="6" applyNumberFormat="1" applyFont="1" applyFill="1" applyBorder="1" applyAlignment="1">
      <alignment horizontal="center" vertical="top"/>
    </xf>
    <xf numFmtId="38" fontId="4" fillId="0" borderId="8" xfId="6" applyNumberFormat="1" applyFont="1" applyFill="1" applyBorder="1" applyAlignment="1">
      <alignment horizontal="center" vertical="top"/>
    </xf>
    <xf numFmtId="38" fontId="4" fillId="0" borderId="20" xfId="6" applyNumberFormat="1" applyFont="1" applyFill="1" applyBorder="1" applyAlignment="1">
      <alignment horizontal="center" vertical="top"/>
    </xf>
    <xf numFmtId="38" fontId="4" fillId="0" borderId="2" xfId="6" applyNumberFormat="1" applyFont="1" applyBorder="1" applyAlignment="1">
      <alignment horizontal="center" vertical="top"/>
    </xf>
    <xf numFmtId="38" fontId="4" fillId="0" borderId="2" xfId="6" quotePrefix="1" applyNumberFormat="1" applyFont="1" applyBorder="1" applyAlignment="1">
      <alignment horizontal="center" vertical="top"/>
    </xf>
    <xf numFmtId="38" fontId="4" fillId="0" borderId="4" xfId="6" applyNumberFormat="1" applyFont="1" applyBorder="1" applyAlignment="1">
      <alignment horizontal="center" vertical="top"/>
    </xf>
    <xf numFmtId="38" fontId="4" fillId="0" borderId="11" xfId="6" quotePrefix="1" applyNumberFormat="1" applyFont="1" applyBorder="1" applyAlignment="1">
      <alignment horizontal="center" vertical="top"/>
    </xf>
    <xf numFmtId="38" fontId="4" fillId="0" borderId="6" xfId="6" applyNumberFormat="1" applyFont="1" applyBorder="1" applyAlignment="1">
      <alignment horizontal="center" vertical="top"/>
    </xf>
    <xf numFmtId="0" fontId="4" fillId="0" borderId="1" xfId="7" applyFont="1" applyBorder="1" applyAlignment="1">
      <alignment horizontal="center"/>
    </xf>
    <xf numFmtId="0" fontId="4" fillId="0" borderId="2" xfId="7" quotePrefix="1" applyFont="1" applyBorder="1" applyAlignment="1">
      <alignment horizontal="center"/>
    </xf>
    <xf numFmtId="0" fontId="4" fillId="0" borderId="10" xfId="7" applyFont="1" applyBorder="1" applyAlignment="1">
      <alignment horizontal="center"/>
    </xf>
    <xf numFmtId="0" fontId="4" fillId="0" borderId="11" xfId="7" applyFont="1" applyBorder="1" applyAlignment="1">
      <alignment horizontal="center"/>
    </xf>
    <xf numFmtId="0" fontId="11" fillId="0" borderId="5" xfId="7" quotePrefix="1" applyFont="1" applyBorder="1" applyAlignment="1">
      <alignment horizontal="center"/>
    </xf>
    <xf numFmtId="0" fontId="11" fillId="0" borderId="6" xfId="7" quotePrefix="1" applyFont="1" applyBorder="1" applyAlignment="1">
      <alignment horizontal="center"/>
    </xf>
    <xf numFmtId="40" fontId="4" fillId="0" borderId="1" xfId="6" applyFont="1" applyBorder="1" applyAlignment="1">
      <alignment horizontal="center" vertical="top" wrapText="1"/>
    </xf>
    <xf numFmtId="40" fontId="4" fillId="0" borderId="2" xfId="6" applyFont="1" applyBorder="1" applyAlignment="1">
      <alignment horizontal="center" vertical="top" wrapText="1"/>
    </xf>
    <xf numFmtId="40" fontId="4" fillId="0" borderId="18" xfId="6" applyFont="1" applyBorder="1" applyAlignment="1">
      <alignment horizontal="center" vertical="top" wrapText="1"/>
    </xf>
    <xf numFmtId="40" fontId="4" fillId="0" borderId="33" xfId="6" applyFont="1" applyBorder="1" applyAlignment="1">
      <alignment horizontal="center" vertical="top" wrapText="1"/>
    </xf>
    <xf numFmtId="40" fontId="4" fillId="0" borderId="34" xfId="6" applyFont="1" applyBorder="1" applyAlignment="1">
      <alignment horizontal="center" vertical="top" wrapText="1"/>
    </xf>
    <xf numFmtId="40" fontId="4" fillId="0" borderId="35" xfId="6" applyFont="1" applyBorder="1" applyAlignment="1">
      <alignment horizontal="center" vertical="top" wrapText="1"/>
    </xf>
    <xf numFmtId="40" fontId="4" fillId="0" borderId="9" xfId="6" applyFont="1" applyBorder="1" applyAlignment="1">
      <alignment horizontal="center" vertical="top" wrapText="1"/>
    </xf>
    <xf numFmtId="40" fontId="4" fillId="0" borderId="0" xfId="6" applyFont="1" applyBorder="1" applyAlignment="1">
      <alignment horizontal="center" vertical="top" wrapText="1"/>
    </xf>
    <xf numFmtId="40" fontId="4" fillId="0" borderId="12" xfId="6" applyFont="1" applyBorder="1" applyAlignment="1">
      <alignment horizontal="center" vertical="top" wrapText="1"/>
    </xf>
    <xf numFmtId="167" fontId="3" fillId="2" borderId="14" xfId="1" applyNumberFormat="1" applyFont="1" applyFill="1" applyBorder="1"/>
    <xf numFmtId="167" fontId="3" fillId="2" borderId="26" xfId="1" applyNumberFormat="1" applyFont="1" applyFill="1" applyBorder="1"/>
    <xf numFmtId="167" fontId="4" fillId="2" borderId="25" xfId="1" applyNumberFormat="1" applyFont="1" applyFill="1" applyBorder="1" applyAlignment="1">
      <alignment horizontal="right"/>
    </xf>
  </cellXfs>
  <cellStyles count="17">
    <cellStyle name="Comma" xfId="1" builtinId="3"/>
    <cellStyle name="Comma 2" xfId="12" xr:uid="{00000000-0005-0000-0000-000001000000}"/>
    <cellStyle name="Comma 3" xfId="6" xr:uid="{00000000-0005-0000-0000-000002000000}"/>
    <cellStyle name="Comma_Revest2006" xfId="4" xr:uid="{00000000-0005-0000-0000-000003000000}"/>
    <cellStyle name="Currency 2" xfId="13" xr:uid="{00000000-0005-0000-0000-000004000000}"/>
    <cellStyle name="Euro" xfId="14" xr:uid="{00000000-0005-0000-0000-000005000000}"/>
    <cellStyle name="Normal" xfId="0" builtinId="0"/>
    <cellStyle name="Normal 2" xfId="11" xr:uid="{00000000-0005-0000-0000-000007000000}"/>
    <cellStyle name="Normal 2 2" xfId="15" xr:uid="{00000000-0005-0000-0000-000008000000}"/>
    <cellStyle name="Normal 3" xfId="16" xr:uid="{00000000-0005-0000-0000-000009000000}"/>
    <cellStyle name="Normal 8" xfId="8" xr:uid="{00000000-0005-0000-0000-00000A000000}"/>
    <cellStyle name="Normal_Financial Statements 2007-08" xfId="10" xr:uid="{00000000-0005-0000-0000-00000B000000}"/>
    <cellStyle name="Normal_Revest2006" xfId="3" xr:uid="{00000000-0005-0000-0000-00000C000000}"/>
    <cellStyle name="Normal_REVSUM2006" xfId="5" xr:uid="{00000000-0005-0000-0000-00000D000000}"/>
    <cellStyle name="Normal_s4_2000" xfId="2" xr:uid="{00000000-0005-0000-0000-00000E000000}"/>
    <cellStyle name="Normal_ST IX  X 2006" xfId="7" xr:uid="{00000000-0005-0000-0000-00000F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SOLIDATEDFUND%20FILES\MISC%20REV%20MONTHLY\20182019\Statement%2015%20April%20to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"/>
      <sheetName val="Sheet2"/>
      <sheetName val="Sheet3"/>
    </sheetNames>
    <sheetDataSet>
      <sheetData sheetId="0"/>
      <sheetData sheetId="1">
        <row r="132">
          <cell r="U132" t="str">
            <v xml:space="preserve"> </v>
          </cell>
        </row>
        <row r="361">
          <cell r="U361" t="str">
            <v xml:space="preserve"> </v>
          </cell>
        </row>
        <row r="381">
          <cell r="U381" t="str">
            <v xml:space="preserve"> </v>
          </cell>
        </row>
        <row r="411">
          <cell r="U411" t="str">
            <v xml:space="preserve"> </v>
          </cell>
        </row>
        <row r="412">
          <cell r="U412" t="str">
            <v xml:space="preserve">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topLeftCell="A34" workbookViewId="0">
      <selection activeCell="B20" sqref="B20:C20"/>
    </sheetView>
  </sheetViews>
  <sheetFormatPr defaultColWidth="9.140625" defaultRowHeight="15"/>
  <cols>
    <col min="1" max="1" width="4.85546875" style="393" customWidth="1"/>
    <col min="2" max="2" width="16.42578125" style="394" customWidth="1"/>
    <col min="3" max="3" width="63" style="392" customWidth="1"/>
    <col min="4" max="4" width="7.42578125" style="392" customWidth="1"/>
    <col min="5" max="5" width="9.140625" style="392"/>
    <col min="6" max="6" width="13.5703125" style="392" bestFit="1" customWidth="1"/>
    <col min="7" max="256" width="9.140625" style="392"/>
    <col min="257" max="257" width="4.85546875" style="392" customWidth="1"/>
    <col min="258" max="258" width="16.42578125" style="392" customWidth="1"/>
    <col min="259" max="259" width="63" style="392" customWidth="1"/>
    <col min="260" max="260" width="7.42578125" style="392" customWidth="1"/>
    <col min="261" max="261" width="9.140625" style="392"/>
    <col min="262" max="262" width="13.5703125" style="392" bestFit="1" customWidth="1"/>
    <col min="263" max="512" width="9.140625" style="392"/>
    <col min="513" max="513" width="4.85546875" style="392" customWidth="1"/>
    <col min="514" max="514" width="16.42578125" style="392" customWidth="1"/>
    <col min="515" max="515" width="63" style="392" customWidth="1"/>
    <col min="516" max="516" width="7.42578125" style="392" customWidth="1"/>
    <col min="517" max="517" width="9.140625" style="392"/>
    <col min="518" max="518" width="13.5703125" style="392" bestFit="1" customWidth="1"/>
    <col min="519" max="768" width="9.140625" style="392"/>
    <col min="769" max="769" width="4.85546875" style="392" customWidth="1"/>
    <col min="770" max="770" width="16.42578125" style="392" customWidth="1"/>
    <col min="771" max="771" width="63" style="392" customWidth="1"/>
    <col min="772" max="772" width="7.42578125" style="392" customWidth="1"/>
    <col min="773" max="773" width="9.140625" style="392"/>
    <col min="774" max="774" width="13.5703125" style="392" bestFit="1" customWidth="1"/>
    <col min="775" max="1024" width="9.140625" style="392"/>
    <col min="1025" max="1025" width="4.85546875" style="392" customWidth="1"/>
    <col min="1026" max="1026" width="16.42578125" style="392" customWidth="1"/>
    <col min="1027" max="1027" width="63" style="392" customWidth="1"/>
    <col min="1028" max="1028" width="7.42578125" style="392" customWidth="1"/>
    <col min="1029" max="1029" width="9.140625" style="392"/>
    <col min="1030" max="1030" width="13.5703125" style="392" bestFit="1" customWidth="1"/>
    <col min="1031" max="1280" width="9.140625" style="392"/>
    <col min="1281" max="1281" width="4.85546875" style="392" customWidth="1"/>
    <col min="1282" max="1282" width="16.42578125" style="392" customWidth="1"/>
    <col min="1283" max="1283" width="63" style="392" customWidth="1"/>
    <col min="1284" max="1284" width="7.42578125" style="392" customWidth="1"/>
    <col min="1285" max="1285" width="9.140625" style="392"/>
    <col min="1286" max="1286" width="13.5703125" style="392" bestFit="1" customWidth="1"/>
    <col min="1287" max="1536" width="9.140625" style="392"/>
    <col min="1537" max="1537" width="4.85546875" style="392" customWidth="1"/>
    <col min="1538" max="1538" width="16.42578125" style="392" customWidth="1"/>
    <col min="1539" max="1539" width="63" style="392" customWidth="1"/>
    <col min="1540" max="1540" width="7.42578125" style="392" customWidth="1"/>
    <col min="1541" max="1541" width="9.140625" style="392"/>
    <col min="1542" max="1542" width="13.5703125" style="392" bestFit="1" customWidth="1"/>
    <col min="1543" max="1792" width="9.140625" style="392"/>
    <col min="1793" max="1793" width="4.85546875" style="392" customWidth="1"/>
    <col min="1794" max="1794" width="16.42578125" style="392" customWidth="1"/>
    <col min="1795" max="1795" width="63" style="392" customWidth="1"/>
    <col min="1796" max="1796" width="7.42578125" style="392" customWidth="1"/>
    <col min="1797" max="1797" width="9.140625" style="392"/>
    <col min="1798" max="1798" width="13.5703125" style="392" bestFit="1" customWidth="1"/>
    <col min="1799" max="2048" width="9.140625" style="392"/>
    <col min="2049" max="2049" width="4.85546875" style="392" customWidth="1"/>
    <col min="2050" max="2050" width="16.42578125" style="392" customWidth="1"/>
    <col min="2051" max="2051" width="63" style="392" customWidth="1"/>
    <col min="2052" max="2052" width="7.42578125" style="392" customWidth="1"/>
    <col min="2053" max="2053" width="9.140625" style="392"/>
    <col min="2054" max="2054" width="13.5703125" style="392" bestFit="1" customWidth="1"/>
    <col min="2055" max="2304" width="9.140625" style="392"/>
    <col min="2305" max="2305" width="4.85546875" style="392" customWidth="1"/>
    <col min="2306" max="2306" width="16.42578125" style="392" customWidth="1"/>
    <col min="2307" max="2307" width="63" style="392" customWidth="1"/>
    <col min="2308" max="2308" width="7.42578125" style="392" customWidth="1"/>
    <col min="2309" max="2309" width="9.140625" style="392"/>
    <col min="2310" max="2310" width="13.5703125" style="392" bestFit="1" customWidth="1"/>
    <col min="2311" max="2560" width="9.140625" style="392"/>
    <col min="2561" max="2561" width="4.85546875" style="392" customWidth="1"/>
    <col min="2562" max="2562" width="16.42578125" style="392" customWidth="1"/>
    <col min="2563" max="2563" width="63" style="392" customWidth="1"/>
    <col min="2564" max="2564" width="7.42578125" style="392" customWidth="1"/>
    <col min="2565" max="2565" width="9.140625" style="392"/>
    <col min="2566" max="2566" width="13.5703125" style="392" bestFit="1" customWidth="1"/>
    <col min="2567" max="2816" width="9.140625" style="392"/>
    <col min="2817" max="2817" width="4.85546875" style="392" customWidth="1"/>
    <col min="2818" max="2818" width="16.42578125" style="392" customWidth="1"/>
    <col min="2819" max="2819" width="63" style="392" customWidth="1"/>
    <col min="2820" max="2820" width="7.42578125" style="392" customWidth="1"/>
    <col min="2821" max="2821" width="9.140625" style="392"/>
    <col min="2822" max="2822" width="13.5703125" style="392" bestFit="1" customWidth="1"/>
    <col min="2823" max="3072" width="9.140625" style="392"/>
    <col min="3073" max="3073" width="4.85546875" style="392" customWidth="1"/>
    <col min="3074" max="3074" width="16.42578125" style="392" customWidth="1"/>
    <col min="3075" max="3075" width="63" style="392" customWidth="1"/>
    <col min="3076" max="3076" width="7.42578125" style="392" customWidth="1"/>
    <col min="3077" max="3077" width="9.140625" style="392"/>
    <col min="3078" max="3078" width="13.5703125" style="392" bestFit="1" customWidth="1"/>
    <col min="3079" max="3328" width="9.140625" style="392"/>
    <col min="3329" max="3329" width="4.85546875" style="392" customWidth="1"/>
    <col min="3330" max="3330" width="16.42578125" style="392" customWidth="1"/>
    <col min="3331" max="3331" width="63" style="392" customWidth="1"/>
    <col min="3332" max="3332" width="7.42578125" style="392" customWidth="1"/>
    <col min="3333" max="3333" width="9.140625" style="392"/>
    <col min="3334" max="3334" width="13.5703125" style="392" bestFit="1" customWidth="1"/>
    <col min="3335" max="3584" width="9.140625" style="392"/>
    <col min="3585" max="3585" width="4.85546875" style="392" customWidth="1"/>
    <col min="3586" max="3586" width="16.42578125" style="392" customWidth="1"/>
    <col min="3587" max="3587" width="63" style="392" customWidth="1"/>
    <col min="3588" max="3588" width="7.42578125" style="392" customWidth="1"/>
    <col min="3589" max="3589" width="9.140625" style="392"/>
    <col min="3590" max="3590" width="13.5703125" style="392" bestFit="1" customWidth="1"/>
    <col min="3591" max="3840" width="9.140625" style="392"/>
    <col min="3841" max="3841" width="4.85546875" style="392" customWidth="1"/>
    <col min="3842" max="3842" width="16.42578125" style="392" customWidth="1"/>
    <col min="3843" max="3843" width="63" style="392" customWidth="1"/>
    <col min="3844" max="3844" width="7.42578125" style="392" customWidth="1"/>
    <col min="3845" max="3845" width="9.140625" style="392"/>
    <col min="3846" max="3846" width="13.5703125" style="392" bestFit="1" customWidth="1"/>
    <col min="3847" max="4096" width="9.140625" style="392"/>
    <col min="4097" max="4097" width="4.85546875" style="392" customWidth="1"/>
    <col min="4098" max="4098" width="16.42578125" style="392" customWidth="1"/>
    <col min="4099" max="4099" width="63" style="392" customWidth="1"/>
    <col min="4100" max="4100" width="7.42578125" style="392" customWidth="1"/>
    <col min="4101" max="4101" width="9.140625" style="392"/>
    <col min="4102" max="4102" width="13.5703125" style="392" bestFit="1" customWidth="1"/>
    <col min="4103" max="4352" width="9.140625" style="392"/>
    <col min="4353" max="4353" width="4.85546875" style="392" customWidth="1"/>
    <col min="4354" max="4354" width="16.42578125" style="392" customWidth="1"/>
    <col min="4355" max="4355" width="63" style="392" customWidth="1"/>
    <col min="4356" max="4356" width="7.42578125" style="392" customWidth="1"/>
    <col min="4357" max="4357" width="9.140625" style="392"/>
    <col min="4358" max="4358" width="13.5703125" style="392" bestFit="1" customWidth="1"/>
    <col min="4359" max="4608" width="9.140625" style="392"/>
    <col min="4609" max="4609" width="4.85546875" style="392" customWidth="1"/>
    <col min="4610" max="4610" width="16.42578125" style="392" customWidth="1"/>
    <col min="4611" max="4611" width="63" style="392" customWidth="1"/>
    <col min="4612" max="4612" width="7.42578125" style="392" customWidth="1"/>
    <col min="4613" max="4613" width="9.140625" style="392"/>
    <col min="4614" max="4614" width="13.5703125" style="392" bestFit="1" customWidth="1"/>
    <col min="4615" max="4864" width="9.140625" style="392"/>
    <col min="4865" max="4865" width="4.85546875" style="392" customWidth="1"/>
    <col min="4866" max="4866" width="16.42578125" style="392" customWidth="1"/>
    <col min="4867" max="4867" width="63" style="392" customWidth="1"/>
    <col min="4868" max="4868" width="7.42578125" style="392" customWidth="1"/>
    <col min="4869" max="4869" width="9.140625" style="392"/>
    <col min="4870" max="4870" width="13.5703125" style="392" bestFit="1" customWidth="1"/>
    <col min="4871" max="5120" width="9.140625" style="392"/>
    <col min="5121" max="5121" width="4.85546875" style="392" customWidth="1"/>
    <col min="5122" max="5122" width="16.42578125" style="392" customWidth="1"/>
    <col min="5123" max="5123" width="63" style="392" customWidth="1"/>
    <col min="5124" max="5124" width="7.42578125" style="392" customWidth="1"/>
    <col min="5125" max="5125" width="9.140625" style="392"/>
    <col min="5126" max="5126" width="13.5703125" style="392" bestFit="1" customWidth="1"/>
    <col min="5127" max="5376" width="9.140625" style="392"/>
    <col min="5377" max="5377" width="4.85546875" style="392" customWidth="1"/>
    <col min="5378" max="5378" width="16.42578125" style="392" customWidth="1"/>
    <col min="5379" max="5379" width="63" style="392" customWidth="1"/>
    <col min="5380" max="5380" width="7.42578125" style="392" customWidth="1"/>
    <col min="5381" max="5381" width="9.140625" style="392"/>
    <col min="5382" max="5382" width="13.5703125" style="392" bestFit="1" customWidth="1"/>
    <col min="5383" max="5632" width="9.140625" style="392"/>
    <col min="5633" max="5633" width="4.85546875" style="392" customWidth="1"/>
    <col min="5634" max="5634" width="16.42578125" style="392" customWidth="1"/>
    <col min="5635" max="5635" width="63" style="392" customWidth="1"/>
    <col min="5636" max="5636" width="7.42578125" style="392" customWidth="1"/>
    <col min="5637" max="5637" width="9.140625" style="392"/>
    <col min="5638" max="5638" width="13.5703125" style="392" bestFit="1" customWidth="1"/>
    <col min="5639" max="5888" width="9.140625" style="392"/>
    <col min="5889" max="5889" width="4.85546875" style="392" customWidth="1"/>
    <col min="5890" max="5890" width="16.42578125" style="392" customWidth="1"/>
    <col min="5891" max="5891" width="63" style="392" customWidth="1"/>
    <col min="5892" max="5892" width="7.42578125" style="392" customWidth="1"/>
    <col min="5893" max="5893" width="9.140625" style="392"/>
    <col min="5894" max="5894" width="13.5703125" style="392" bestFit="1" customWidth="1"/>
    <col min="5895" max="6144" width="9.140625" style="392"/>
    <col min="6145" max="6145" width="4.85546875" style="392" customWidth="1"/>
    <col min="6146" max="6146" width="16.42578125" style="392" customWidth="1"/>
    <col min="6147" max="6147" width="63" style="392" customWidth="1"/>
    <col min="6148" max="6148" width="7.42578125" style="392" customWidth="1"/>
    <col min="6149" max="6149" width="9.140625" style="392"/>
    <col min="6150" max="6150" width="13.5703125" style="392" bestFit="1" customWidth="1"/>
    <col min="6151" max="6400" width="9.140625" style="392"/>
    <col min="6401" max="6401" width="4.85546875" style="392" customWidth="1"/>
    <col min="6402" max="6402" width="16.42578125" style="392" customWidth="1"/>
    <col min="6403" max="6403" width="63" style="392" customWidth="1"/>
    <col min="6404" max="6404" width="7.42578125" style="392" customWidth="1"/>
    <col min="6405" max="6405" width="9.140625" style="392"/>
    <col min="6406" max="6406" width="13.5703125" style="392" bestFit="1" customWidth="1"/>
    <col min="6407" max="6656" width="9.140625" style="392"/>
    <col min="6657" max="6657" width="4.85546875" style="392" customWidth="1"/>
    <col min="6658" max="6658" width="16.42578125" style="392" customWidth="1"/>
    <col min="6659" max="6659" width="63" style="392" customWidth="1"/>
    <col min="6660" max="6660" width="7.42578125" style="392" customWidth="1"/>
    <col min="6661" max="6661" width="9.140625" style="392"/>
    <col min="6662" max="6662" width="13.5703125" style="392" bestFit="1" customWidth="1"/>
    <col min="6663" max="6912" width="9.140625" style="392"/>
    <col min="6913" max="6913" width="4.85546875" style="392" customWidth="1"/>
    <col min="6914" max="6914" width="16.42578125" style="392" customWidth="1"/>
    <col min="6915" max="6915" width="63" style="392" customWidth="1"/>
    <col min="6916" max="6916" width="7.42578125" style="392" customWidth="1"/>
    <col min="6917" max="6917" width="9.140625" style="392"/>
    <col min="6918" max="6918" width="13.5703125" style="392" bestFit="1" customWidth="1"/>
    <col min="6919" max="7168" width="9.140625" style="392"/>
    <col min="7169" max="7169" width="4.85546875" style="392" customWidth="1"/>
    <col min="7170" max="7170" width="16.42578125" style="392" customWidth="1"/>
    <col min="7171" max="7171" width="63" style="392" customWidth="1"/>
    <col min="7172" max="7172" width="7.42578125" style="392" customWidth="1"/>
    <col min="7173" max="7173" width="9.140625" style="392"/>
    <col min="7174" max="7174" width="13.5703125" style="392" bestFit="1" customWidth="1"/>
    <col min="7175" max="7424" width="9.140625" style="392"/>
    <col min="7425" max="7425" width="4.85546875" style="392" customWidth="1"/>
    <col min="7426" max="7426" width="16.42578125" style="392" customWidth="1"/>
    <col min="7427" max="7427" width="63" style="392" customWidth="1"/>
    <col min="7428" max="7428" width="7.42578125" style="392" customWidth="1"/>
    <col min="7429" max="7429" width="9.140625" style="392"/>
    <col min="7430" max="7430" width="13.5703125" style="392" bestFit="1" customWidth="1"/>
    <col min="7431" max="7680" width="9.140625" style="392"/>
    <col min="7681" max="7681" width="4.85546875" style="392" customWidth="1"/>
    <col min="7682" max="7682" width="16.42578125" style="392" customWidth="1"/>
    <col min="7683" max="7683" width="63" style="392" customWidth="1"/>
    <col min="7684" max="7684" width="7.42578125" style="392" customWidth="1"/>
    <col min="7685" max="7685" width="9.140625" style="392"/>
    <col min="7686" max="7686" width="13.5703125" style="392" bestFit="1" customWidth="1"/>
    <col min="7687" max="7936" width="9.140625" style="392"/>
    <col min="7937" max="7937" width="4.85546875" style="392" customWidth="1"/>
    <col min="7938" max="7938" width="16.42578125" style="392" customWidth="1"/>
    <col min="7939" max="7939" width="63" style="392" customWidth="1"/>
    <col min="7940" max="7940" width="7.42578125" style="392" customWidth="1"/>
    <col min="7941" max="7941" width="9.140625" style="392"/>
    <col min="7942" max="7942" width="13.5703125" style="392" bestFit="1" customWidth="1"/>
    <col min="7943" max="8192" width="9.140625" style="392"/>
    <col min="8193" max="8193" width="4.85546875" style="392" customWidth="1"/>
    <col min="8194" max="8194" width="16.42578125" style="392" customWidth="1"/>
    <col min="8195" max="8195" width="63" style="392" customWidth="1"/>
    <col min="8196" max="8196" width="7.42578125" style="392" customWidth="1"/>
    <col min="8197" max="8197" width="9.140625" style="392"/>
    <col min="8198" max="8198" width="13.5703125" style="392" bestFit="1" customWidth="1"/>
    <col min="8199" max="8448" width="9.140625" style="392"/>
    <col min="8449" max="8449" width="4.85546875" style="392" customWidth="1"/>
    <col min="8450" max="8450" width="16.42578125" style="392" customWidth="1"/>
    <col min="8451" max="8451" width="63" style="392" customWidth="1"/>
    <col min="8452" max="8452" width="7.42578125" style="392" customWidth="1"/>
    <col min="8453" max="8453" width="9.140625" style="392"/>
    <col min="8454" max="8454" width="13.5703125" style="392" bestFit="1" customWidth="1"/>
    <col min="8455" max="8704" width="9.140625" style="392"/>
    <col min="8705" max="8705" width="4.85546875" style="392" customWidth="1"/>
    <col min="8706" max="8706" width="16.42578125" style="392" customWidth="1"/>
    <col min="8707" max="8707" width="63" style="392" customWidth="1"/>
    <col min="8708" max="8708" width="7.42578125" style="392" customWidth="1"/>
    <col min="8709" max="8709" width="9.140625" style="392"/>
    <col min="8710" max="8710" width="13.5703125" style="392" bestFit="1" customWidth="1"/>
    <col min="8711" max="8960" width="9.140625" style="392"/>
    <col min="8961" max="8961" width="4.85546875" style="392" customWidth="1"/>
    <col min="8962" max="8962" width="16.42578125" style="392" customWidth="1"/>
    <col min="8963" max="8963" width="63" style="392" customWidth="1"/>
    <col min="8964" max="8964" width="7.42578125" style="392" customWidth="1"/>
    <col min="8965" max="8965" width="9.140625" style="392"/>
    <col min="8966" max="8966" width="13.5703125" style="392" bestFit="1" customWidth="1"/>
    <col min="8967" max="9216" width="9.140625" style="392"/>
    <col min="9217" max="9217" width="4.85546875" style="392" customWidth="1"/>
    <col min="9218" max="9218" width="16.42578125" style="392" customWidth="1"/>
    <col min="9219" max="9219" width="63" style="392" customWidth="1"/>
    <col min="9220" max="9220" width="7.42578125" style="392" customWidth="1"/>
    <col min="9221" max="9221" width="9.140625" style="392"/>
    <col min="9222" max="9222" width="13.5703125" style="392" bestFit="1" customWidth="1"/>
    <col min="9223" max="9472" width="9.140625" style="392"/>
    <col min="9473" max="9473" width="4.85546875" style="392" customWidth="1"/>
    <col min="9474" max="9474" width="16.42578125" style="392" customWidth="1"/>
    <col min="9475" max="9475" width="63" style="392" customWidth="1"/>
    <col min="9476" max="9476" width="7.42578125" style="392" customWidth="1"/>
    <col min="9477" max="9477" width="9.140625" style="392"/>
    <col min="9478" max="9478" width="13.5703125" style="392" bestFit="1" customWidth="1"/>
    <col min="9479" max="9728" width="9.140625" style="392"/>
    <col min="9729" max="9729" width="4.85546875" style="392" customWidth="1"/>
    <col min="9730" max="9730" width="16.42578125" style="392" customWidth="1"/>
    <col min="9731" max="9731" width="63" style="392" customWidth="1"/>
    <col min="9732" max="9732" width="7.42578125" style="392" customWidth="1"/>
    <col min="9733" max="9733" width="9.140625" style="392"/>
    <col min="9734" max="9734" width="13.5703125" style="392" bestFit="1" customWidth="1"/>
    <col min="9735" max="9984" width="9.140625" style="392"/>
    <col min="9985" max="9985" width="4.85546875" style="392" customWidth="1"/>
    <col min="9986" max="9986" width="16.42578125" style="392" customWidth="1"/>
    <col min="9987" max="9987" width="63" style="392" customWidth="1"/>
    <col min="9988" max="9988" width="7.42578125" style="392" customWidth="1"/>
    <col min="9989" max="9989" width="9.140625" style="392"/>
    <col min="9990" max="9990" width="13.5703125" style="392" bestFit="1" customWidth="1"/>
    <col min="9991" max="10240" width="9.140625" style="392"/>
    <col min="10241" max="10241" width="4.85546875" style="392" customWidth="1"/>
    <col min="10242" max="10242" width="16.42578125" style="392" customWidth="1"/>
    <col min="10243" max="10243" width="63" style="392" customWidth="1"/>
    <col min="10244" max="10244" width="7.42578125" style="392" customWidth="1"/>
    <col min="10245" max="10245" width="9.140625" style="392"/>
    <col min="10246" max="10246" width="13.5703125" style="392" bestFit="1" customWidth="1"/>
    <col min="10247" max="10496" width="9.140625" style="392"/>
    <col min="10497" max="10497" width="4.85546875" style="392" customWidth="1"/>
    <col min="10498" max="10498" width="16.42578125" style="392" customWidth="1"/>
    <col min="10499" max="10499" width="63" style="392" customWidth="1"/>
    <col min="10500" max="10500" width="7.42578125" style="392" customWidth="1"/>
    <col min="10501" max="10501" width="9.140625" style="392"/>
    <col min="10502" max="10502" width="13.5703125" style="392" bestFit="1" customWidth="1"/>
    <col min="10503" max="10752" width="9.140625" style="392"/>
    <col min="10753" max="10753" width="4.85546875" style="392" customWidth="1"/>
    <col min="10754" max="10754" width="16.42578125" style="392" customWidth="1"/>
    <col min="10755" max="10755" width="63" style="392" customWidth="1"/>
    <col min="10756" max="10756" width="7.42578125" style="392" customWidth="1"/>
    <col min="10757" max="10757" width="9.140625" style="392"/>
    <col min="10758" max="10758" width="13.5703125" style="392" bestFit="1" customWidth="1"/>
    <col min="10759" max="11008" width="9.140625" style="392"/>
    <col min="11009" max="11009" width="4.85546875" style="392" customWidth="1"/>
    <col min="11010" max="11010" width="16.42578125" style="392" customWidth="1"/>
    <col min="11011" max="11011" width="63" style="392" customWidth="1"/>
    <col min="11012" max="11012" width="7.42578125" style="392" customWidth="1"/>
    <col min="11013" max="11013" width="9.140625" style="392"/>
    <col min="11014" max="11014" width="13.5703125" style="392" bestFit="1" customWidth="1"/>
    <col min="11015" max="11264" width="9.140625" style="392"/>
    <col min="11265" max="11265" width="4.85546875" style="392" customWidth="1"/>
    <col min="11266" max="11266" width="16.42578125" style="392" customWidth="1"/>
    <col min="11267" max="11267" width="63" style="392" customWidth="1"/>
    <col min="11268" max="11268" width="7.42578125" style="392" customWidth="1"/>
    <col min="11269" max="11269" width="9.140625" style="392"/>
    <col min="11270" max="11270" width="13.5703125" style="392" bestFit="1" customWidth="1"/>
    <col min="11271" max="11520" width="9.140625" style="392"/>
    <col min="11521" max="11521" width="4.85546875" style="392" customWidth="1"/>
    <col min="11522" max="11522" width="16.42578125" style="392" customWidth="1"/>
    <col min="11523" max="11523" width="63" style="392" customWidth="1"/>
    <col min="11524" max="11524" width="7.42578125" style="392" customWidth="1"/>
    <col min="11525" max="11525" width="9.140625" style="392"/>
    <col min="11526" max="11526" width="13.5703125" style="392" bestFit="1" customWidth="1"/>
    <col min="11527" max="11776" width="9.140625" style="392"/>
    <col min="11777" max="11777" width="4.85546875" style="392" customWidth="1"/>
    <col min="11778" max="11778" width="16.42578125" style="392" customWidth="1"/>
    <col min="11779" max="11779" width="63" style="392" customWidth="1"/>
    <col min="11780" max="11780" width="7.42578125" style="392" customWidth="1"/>
    <col min="11781" max="11781" width="9.140625" style="392"/>
    <col min="11782" max="11782" width="13.5703125" style="392" bestFit="1" customWidth="1"/>
    <col min="11783" max="12032" width="9.140625" style="392"/>
    <col min="12033" max="12033" width="4.85546875" style="392" customWidth="1"/>
    <col min="12034" max="12034" width="16.42578125" style="392" customWidth="1"/>
    <col min="12035" max="12035" width="63" style="392" customWidth="1"/>
    <col min="12036" max="12036" width="7.42578125" style="392" customWidth="1"/>
    <col min="12037" max="12037" width="9.140625" style="392"/>
    <col min="12038" max="12038" width="13.5703125" style="392" bestFit="1" customWidth="1"/>
    <col min="12039" max="12288" width="9.140625" style="392"/>
    <col min="12289" max="12289" width="4.85546875" style="392" customWidth="1"/>
    <col min="12290" max="12290" width="16.42578125" style="392" customWidth="1"/>
    <col min="12291" max="12291" width="63" style="392" customWidth="1"/>
    <col min="12292" max="12292" width="7.42578125" style="392" customWidth="1"/>
    <col min="12293" max="12293" width="9.140625" style="392"/>
    <col min="12294" max="12294" width="13.5703125" style="392" bestFit="1" customWidth="1"/>
    <col min="12295" max="12544" width="9.140625" style="392"/>
    <col min="12545" max="12545" width="4.85546875" style="392" customWidth="1"/>
    <col min="12546" max="12546" width="16.42578125" style="392" customWidth="1"/>
    <col min="12547" max="12547" width="63" style="392" customWidth="1"/>
    <col min="12548" max="12548" width="7.42578125" style="392" customWidth="1"/>
    <col min="12549" max="12549" width="9.140625" style="392"/>
    <col min="12550" max="12550" width="13.5703125" style="392" bestFit="1" customWidth="1"/>
    <col min="12551" max="12800" width="9.140625" style="392"/>
    <col min="12801" max="12801" width="4.85546875" style="392" customWidth="1"/>
    <col min="12802" max="12802" width="16.42578125" style="392" customWidth="1"/>
    <col min="12803" max="12803" width="63" style="392" customWidth="1"/>
    <col min="12804" max="12804" width="7.42578125" style="392" customWidth="1"/>
    <col min="12805" max="12805" width="9.140625" style="392"/>
    <col min="12806" max="12806" width="13.5703125" style="392" bestFit="1" customWidth="1"/>
    <col min="12807" max="13056" width="9.140625" style="392"/>
    <col min="13057" max="13057" width="4.85546875" style="392" customWidth="1"/>
    <col min="13058" max="13058" width="16.42578125" style="392" customWidth="1"/>
    <col min="13059" max="13059" width="63" style="392" customWidth="1"/>
    <col min="13060" max="13060" width="7.42578125" style="392" customWidth="1"/>
    <col min="13061" max="13061" width="9.140625" style="392"/>
    <col min="13062" max="13062" width="13.5703125" style="392" bestFit="1" customWidth="1"/>
    <col min="13063" max="13312" width="9.140625" style="392"/>
    <col min="13313" max="13313" width="4.85546875" style="392" customWidth="1"/>
    <col min="13314" max="13314" width="16.42578125" style="392" customWidth="1"/>
    <col min="13315" max="13315" width="63" style="392" customWidth="1"/>
    <col min="13316" max="13316" width="7.42578125" style="392" customWidth="1"/>
    <col min="13317" max="13317" width="9.140625" style="392"/>
    <col min="13318" max="13318" width="13.5703125" style="392" bestFit="1" customWidth="1"/>
    <col min="13319" max="13568" width="9.140625" style="392"/>
    <col min="13569" max="13569" width="4.85546875" style="392" customWidth="1"/>
    <col min="13570" max="13570" width="16.42578125" style="392" customWidth="1"/>
    <col min="13571" max="13571" width="63" style="392" customWidth="1"/>
    <col min="13572" max="13572" width="7.42578125" style="392" customWidth="1"/>
    <col min="13573" max="13573" width="9.140625" style="392"/>
    <col min="13574" max="13574" width="13.5703125" style="392" bestFit="1" customWidth="1"/>
    <col min="13575" max="13824" width="9.140625" style="392"/>
    <col min="13825" max="13825" width="4.85546875" style="392" customWidth="1"/>
    <col min="13826" max="13826" width="16.42578125" style="392" customWidth="1"/>
    <col min="13827" max="13827" width="63" style="392" customWidth="1"/>
    <col min="13828" max="13828" width="7.42578125" style="392" customWidth="1"/>
    <col min="13829" max="13829" width="9.140625" style="392"/>
    <col min="13830" max="13830" width="13.5703125" style="392" bestFit="1" customWidth="1"/>
    <col min="13831" max="14080" width="9.140625" style="392"/>
    <col min="14081" max="14081" width="4.85546875" style="392" customWidth="1"/>
    <col min="14082" max="14082" width="16.42578125" style="392" customWidth="1"/>
    <col min="14083" max="14083" width="63" style="392" customWidth="1"/>
    <col min="14084" max="14084" width="7.42578125" style="392" customWidth="1"/>
    <col min="14085" max="14085" width="9.140625" style="392"/>
    <col min="14086" max="14086" width="13.5703125" style="392" bestFit="1" customWidth="1"/>
    <col min="14087" max="14336" width="9.140625" style="392"/>
    <col min="14337" max="14337" width="4.85546875" style="392" customWidth="1"/>
    <col min="14338" max="14338" width="16.42578125" style="392" customWidth="1"/>
    <col min="14339" max="14339" width="63" style="392" customWidth="1"/>
    <col min="14340" max="14340" width="7.42578125" style="392" customWidth="1"/>
    <col min="14341" max="14341" width="9.140625" style="392"/>
    <col min="14342" max="14342" width="13.5703125" style="392" bestFit="1" customWidth="1"/>
    <col min="14343" max="14592" width="9.140625" style="392"/>
    <col min="14593" max="14593" width="4.85546875" style="392" customWidth="1"/>
    <col min="14594" max="14594" width="16.42578125" style="392" customWidth="1"/>
    <col min="14595" max="14595" width="63" style="392" customWidth="1"/>
    <col min="14596" max="14596" width="7.42578125" style="392" customWidth="1"/>
    <col min="14597" max="14597" width="9.140625" style="392"/>
    <col min="14598" max="14598" width="13.5703125" style="392" bestFit="1" customWidth="1"/>
    <col min="14599" max="14848" width="9.140625" style="392"/>
    <col min="14849" max="14849" width="4.85546875" style="392" customWidth="1"/>
    <col min="14850" max="14850" width="16.42578125" style="392" customWidth="1"/>
    <col min="14851" max="14851" width="63" style="392" customWidth="1"/>
    <col min="14852" max="14852" width="7.42578125" style="392" customWidth="1"/>
    <col min="14853" max="14853" width="9.140625" style="392"/>
    <col min="14854" max="14854" width="13.5703125" style="392" bestFit="1" customWidth="1"/>
    <col min="14855" max="15104" width="9.140625" style="392"/>
    <col min="15105" max="15105" width="4.85546875" style="392" customWidth="1"/>
    <col min="15106" max="15106" width="16.42578125" style="392" customWidth="1"/>
    <col min="15107" max="15107" width="63" style="392" customWidth="1"/>
    <col min="15108" max="15108" width="7.42578125" style="392" customWidth="1"/>
    <col min="15109" max="15109" width="9.140625" style="392"/>
    <col min="15110" max="15110" width="13.5703125" style="392" bestFit="1" customWidth="1"/>
    <col min="15111" max="15360" width="9.140625" style="392"/>
    <col min="15361" max="15361" width="4.85546875" style="392" customWidth="1"/>
    <col min="15362" max="15362" width="16.42578125" style="392" customWidth="1"/>
    <col min="15363" max="15363" width="63" style="392" customWidth="1"/>
    <col min="15364" max="15364" width="7.42578125" style="392" customWidth="1"/>
    <col min="15365" max="15365" width="9.140625" style="392"/>
    <col min="15366" max="15366" width="13.5703125" style="392" bestFit="1" customWidth="1"/>
    <col min="15367" max="15616" width="9.140625" style="392"/>
    <col min="15617" max="15617" width="4.85546875" style="392" customWidth="1"/>
    <col min="15618" max="15618" width="16.42578125" style="392" customWidth="1"/>
    <col min="15619" max="15619" width="63" style="392" customWidth="1"/>
    <col min="15620" max="15620" width="7.42578125" style="392" customWidth="1"/>
    <col min="15621" max="15621" width="9.140625" style="392"/>
    <col min="15622" max="15622" width="13.5703125" style="392" bestFit="1" customWidth="1"/>
    <col min="15623" max="15872" width="9.140625" style="392"/>
    <col min="15873" max="15873" width="4.85546875" style="392" customWidth="1"/>
    <col min="15874" max="15874" width="16.42578125" style="392" customWidth="1"/>
    <col min="15875" max="15875" width="63" style="392" customWidth="1"/>
    <col min="15876" max="15876" width="7.42578125" style="392" customWidth="1"/>
    <col min="15877" max="15877" width="9.140625" style="392"/>
    <col min="15878" max="15878" width="13.5703125" style="392" bestFit="1" customWidth="1"/>
    <col min="15879" max="16128" width="9.140625" style="392"/>
    <col min="16129" max="16129" width="4.85546875" style="392" customWidth="1"/>
    <col min="16130" max="16130" width="16.42578125" style="392" customWidth="1"/>
    <col min="16131" max="16131" width="63" style="392" customWidth="1"/>
    <col min="16132" max="16132" width="7.42578125" style="392" customWidth="1"/>
    <col min="16133" max="16133" width="9.140625" style="392"/>
    <col min="16134" max="16134" width="13.5703125" style="392" bestFit="1" customWidth="1"/>
    <col min="16135" max="16384" width="9.140625" style="392"/>
  </cols>
  <sheetData>
    <row r="2" spans="1:4" ht="15.75">
      <c r="A2" s="508" t="s">
        <v>663</v>
      </c>
      <c r="B2" s="508"/>
      <c r="C2" s="508"/>
      <c r="D2" s="508"/>
    </row>
    <row r="3" spans="1:4" ht="15.75">
      <c r="A3" s="508" t="s">
        <v>664</v>
      </c>
      <c r="B3" s="508"/>
      <c r="C3" s="508"/>
      <c r="D3" s="508"/>
    </row>
    <row r="4" spans="1:4">
      <c r="D4" s="395"/>
    </row>
    <row r="5" spans="1:4" ht="31.5">
      <c r="D5" s="396" t="s">
        <v>665</v>
      </c>
    </row>
    <row r="6" spans="1:4">
      <c r="D6" s="395"/>
    </row>
    <row r="7" spans="1:4" ht="15.75">
      <c r="A7" s="396" t="s">
        <v>666</v>
      </c>
      <c r="B7" s="509" t="s">
        <v>667</v>
      </c>
      <c r="C7" s="509"/>
      <c r="D7" s="397"/>
    </row>
    <row r="8" spans="1:4" ht="15.75">
      <c r="A8" s="396"/>
      <c r="B8" s="398"/>
      <c r="C8" s="399"/>
      <c r="D8" s="397"/>
    </row>
    <row r="9" spans="1:4">
      <c r="B9" s="394" t="s">
        <v>668</v>
      </c>
      <c r="C9" s="394" t="s">
        <v>669</v>
      </c>
      <c r="D9" s="400">
        <v>1</v>
      </c>
    </row>
    <row r="10" spans="1:4">
      <c r="B10" s="394" t="s">
        <v>670</v>
      </c>
      <c r="C10" s="394" t="s">
        <v>671</v>
      </c>
      <c r="D10" s="400">
        <v>2</v>
      </c>
    </row>
    <row r="11" spans="1:4">
      <c r="D11" s="400"/>
    </row>
    <row r="12" spans="1:4" ht="15.75">
      <c r="A12" s="396" t="s">
        <v>672</v>
      </c>
      <c r="B12" s="510" t="s">
        <v>673</v>
      </c>
      <c r="C12" s="510"/>
      <c r="D12" s="397"/>
    </row>
    <row r="13" spans="1:4" ht="15.75">
      <c r="B13" s="401"/>
      <c r="C13" s="402"/>
      <c r="D13" s="403"/>
    </row>
    <row r="14" spans="1:4" ht="30">
      <c r="B14" s="394" t="s">
        <v>674</v>
      </c>
      <c r="C14" s="392" t="s">
        <v>675</v>
      </c>
      <c r="D14" s="400">
        <v>11</v>
      </c>
    </row>
    <row r="15" spans="1:4">
      <c r="B15" s="394" t="s">
        <v>676</v>
      </c>
      <c r="C15" s="392" t="s">
        <v>677</v>
      </c>
      <c r="D15" s="400">
        <v>14</v>
      </c>
    </row>
    <row r="16" spans="1:4" ht="30">
      <c r="B16" s="394" t="s">
        <v>678</v>
      </c>
      <c r="C16" s="392" t="s">
        <v>679</v>
      </c>
      <c r="D16" s="397">
        <v>15</v>
      </c>
    </row>
    <row r="17" spans="1:4" ht="15.75">
      <c r="A17" s="396"/>
      <c r="B17" s="510"/>
      <c r="C17" s="510"/>
      <c r="D17" s="395"/>
    </row>
    <row r="18" spans="1:4">
      <c r="D18" s="395"/>
    </row>
    <row r="19" spans="1:4">
      <c r="B19" s="507"/>
      <c r="C19" s="507"/>
      <c r="D19" s="400"/>
    </row>
    <row r="20" spans="1:4">
      <c r="B20" s="507"/>
      <c r="C20" s="507"/>
      <c r="D20" s="400"/>
    </row>
    <row r="23" spans="1:4">
      <c r="D23" s="397"/>
    </row>
  </sheetData>
  <mergeCells count="7">
    <mergeCell ref="B20:C20"/>
    <mergeCell ref="A2:D2"/>
    <mergeCell ref="A3:D3"/>
    <mergeCell ref="B7:C7"/>
    <mergeCell ref="B12:C12"/>
    <mergeCell ref="B17:C17"/>
    <mergeCell ref="B19:C19"/>
  </mergeCells>
  <printOptions horizontalCentered="1"/>
  <pageMargins left="0.75" right="0.75" top="0.63" bottom="1" header="0.41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topLeftCell="A56" zoomScaleNormal="100" workbookViewId="0">
      <selection activeCell="H17" sqref="H17"/>
    </sheetView>
  </sheetViews>
  <sheetFormatPr defaultColWidth="31.42578125" defaultRowHeight="12.75"/>
  <cols>
    <col min="1" max="1" width="2.140625" style="12" customWidth="1"/>
    <col min="2" max="2" width="2.5703125" style="12" customWidth="1"/>
    <col min="3" max="3" width="51.5703125" style="16" customWidth="1"/>
    <col min="4" max="4" width="16.140625" style="16" bestFit="1" customWidth="1"/>
    <col min="5" max="5" width="16.140625" style="118" bestFit="1" customWidth="1"/>
    <col min="6" max="6" width="17.5703125" style="114" bestFit="1" customWidth="1"/>
    <col min="7" max="7" width="20.42578125" style="16" customWidth="1"/>
    <col min="8" max="8" width="20.5703125" style="117" customWidth="1"/>
    <col min="9" max="256" width="31.42578125" style="12"/>
    <col min="257" max="257" width="2.140625" style="12" customWidth="1"/>
    <col min="258" max="258" width="2.5703125" style="12" customWidth="1"/>
    <col min="259" max="259" width="51" style="12" customWidth="1"/>
    <col min="260" max="260" width="21.42578125" style="12" bestFit="1" customWidth="1"/>
    <col min="261" max="261" width="21.140625" style="12" bestFit="1" customWidth="1"/>
    <col min="262" max="262" width="18.5703125" style="12" customWidth="1"/>
    <col min="263" max="263" width="2" style="12" customWidth="1"/>
    <col min="264" max="264" width="11.42578125" style="12" customWidth="1"/>
    <col min="265" max="512" width="31.42578125" style="12"/>
    <col min="513" max="513" width="2.140625" style="12" customWidth="1"/>
    <col min="514" max="514" width="2.5703125" style="12" customWidth="1"/>
    <col min="515" max="515" width="51" style="12" customWidth="1"/>
    <col min="516" max="516" width="21.42578125" style="12" bestFit="1" customWidth="1"/>
    <col min="517" max="517" width="21.140625" style="12" bestFit="1" customWidth="1"/>
    <col min="518" max="518" width="18.5703125" style="12" customWidth="1"/>
    <col min="519" max="519" width="2" style="12" customWidth="1"/>
    <col min="520" max="520" width="11.42578125" style="12" customWidth="1"/>
    <col min="521" max="768" width="31.42578125" style="12"/>
    <col min="769" max="769" width="2.140625" style="12" customWidth="1"/>
    <col min="770" max="770" width="2.5703125" style="12" customWidth="1"/>
    <col min="771" max="771" width="51" style="12" customWidth="1"/>
    <col min="772" max="772" width="21.42578125" style="12" bestFit="1" customWidth="1"/>
    <col min="773" max="773" width="21.140625" style="12" bestFit="1" customWidth="1"/>
    <col min="774" max="774" width="18.5703125" style="12" customWidth="1"/>
    <col min="775" max="775" width="2" style="12" customWidth="1"/>
    <col min="776" max="776" width="11.42578125" style="12" customWidth="1"/>
    <col min="777" max="1024" width="31.42578125" style="12"/>
    <col min="1025" max="1025" width="2.140625" style="12" customWidth="1"/>
    <col min="1026" max="1026" width="2.5703125" style="12" customWidth="1"/>
    <col min="1027" max="1027" width="51" style="12" customWidth="1"/>
    <col min="1028" max="1028" width="21.42578125" style="12" bestFit="1" customWidth="1"/>
    <col min="1029" max="1029" width="21.140625" style="12" bestFit="1" customWidth="1"/>
    <col min="1030" max="1030" width="18.5703125" style="12" customWidth="1"/>
    <col min="1031" max="1031" width="2" style="12" customWidth="1"/>
    <col min="1032" max="1032" width="11.42578125" style="12" customWidth="1"/>
    <col min="1033" max="1280" width="31.42578125" style="12"/>
    <col min="1281" max="1281" width="2.140625" style="12" customWidth="1"/>
    <col min="1282" max="1282" width="2.5703125" style="12" customWidth="1"/>
    <col min="1283" max="1283" width="51" style="12" customWidth="1"/>
    <col min="1284" max="1284" width="21.42578125" style="12" bestFit="1" customWidth="1"/>
    <col min="1285" max="1285" width="21.140625" style="12" bestFit="1" customWidth="1"/>
    <col min="1286" max="1286" width="18.5703125" style="12" customWidth="1"/>
    <col min="1287" max="1287" width="2" style="12" customWidth="1"/>
    <col min="1288" max="1288" width="11.42578125" style="12" customWidth="1"/>
    <col min="1289" max="1536" width="31.42578125" style="12"/>
    <col min="1537" max="1537" width="2.140625" style="12" customWidth="1"/>
    <col min="1538" max="1538" width="2.5703125" style="12" customWidth="1"/>
    <col min="1539" max="1539" width="51" style="12" customWidth="1"/>
    <col min="1540" max="1540" width="21.42578125" style="12" bestFit="1" customWidth="1"/>
    <col min="1541" max="1541" width="21.140625" style="12" bestFit="1" customWidth="1"/>
    <col min="1542" max="1542" width="18.5703125" style="12" customWidth="1"/>
    <col min="1543" max="1543" width="2" style="12" customWidth="1"/>
    <col min="1544" max="1544" width="11.42578125" style="12" customWidth="1"/>
    <col min="1545" max="1792" width="31.42578125" style="12"/>
    <col min="1793" max="1793" width="2.140625" style="12" customWidth="1"/>
    <col min="1794" max="1794" width="2.5703125" style="12" customWidth="1"/>
    <col min="1795" max="1795" width="51" style="12" customWidth="1"/>
    <col min="1796" max="1796" width="21.42578125" style="12" bestFit="1" customWidth="1"/>
    <col min="1797" max="1797" width="21.140625" style="12" bestFit="1" customWidth="1"/>
    <col min="1798" max="1798" width="18.5703125" style="12" customWidth="1"/>
    <col min="1799" max="1799" width="2" style="12" customWidth="1"/>
    <col min="1800" max="1800" width="11.42578125" style="12" customWidth="1"/>
    <col min="1801" max="2048" width="31.42578125" style="12"/>
    <col min="2049" max="2049" width="2.140625" style="12" customWidth="1"/>
    <col min="2050" max="2050" width="2.5703125" style="12" customWidth="1"/>
    <col min="2051" max="2051" width="51" style="12" customWidth="1"/>
    <col min="2052" max="2052" width="21.42578125" style="12" bestFit="1" customWidth="1"/>
    <col min="2053" max="2053" width="21.140625" style="12" bestFit="1" customWidth="1"/>
    <col min="2054" max="2054" width="18.5703125" style="12" customWidth="1"/>
    <col min="2055" max="2055" width="2" style="12" customWidth="1"/>
    <col min="2056" max="2056" width="11.42578125" style="12" customWidth="1"/>
    <col min="2057" max="2304" width="31.42578125" style="12"/>
    <col min="2305" max="2305" width="2.140625" style="12" customWidth="1"/>
    <col min="2306" max="2306" width="2.5703125" style="12" customWidth="1"/>
    <col min="2307" max="2307" width="51" style="12" customWidth="1"/>
    <col min="2308" max="2308" width="21.42578125" style="12" bestFit="1" customWidth="1"/>
    <col min="2309" max="2309" width="21.140625" style="12" bestFit="1" customWidth="1"/>
    <col min="2310" max="2310" width="18.5703125" style="12" customWidth="1"/>
    <col min="2311" max="2311" width="2" style="12" customWidth="1"/>
    <col min="2312" max="2312" width="11.42578125" style="12" customWidth="1"/>
    <col min="2313" max="2560" width="31.42578125" style="12"/>
    <col min="2561" max="2561" width="2.140625" style="12" customWidth="1"/>
    <col min="2562" max="2562" width="2.5703125" style="12" customWidth="1"/>
    <col min="2563" max="2563" width="51" style="12" customWidth="1"/>
    <col min="2564" max="2564" width="21.42578125" style="12" bestFit="1" customWidth="1"/>
    <col min="2565" max="2565" width="21.140625" style="12" bestFit="1" customWidth="1"/>
    <col min="2566" max="2566" width="18.5703125" style="12" customWidth="1"/>
    <col min="2567" max="2567" width="2" style="12" customWidth="1"/>
    <col min="2568" max="2568" width="11.42578125" style="12" customWidth="1"/>
    <col min="2569" max="2816" width="31.42578125" style="12"/>
    <col min="2817" max="2817" width="2.140625" style="12" customWidth="1"/>
    <col min="2818" max="2818" width="2.5703125" style="12" customWidth="1"/>
    <col min="2819" max="2819" width="51" style="12" customWidth="1"/>
    <col min="2820" max="2820" width="21.42578125" style="12" bestFit="1" customWidth="1"/>
    <col min="2821" max="2821" width="21.140625" style="12" bestFit="1" customWidth="1"/>
    <col min="2822" max="2822" width="18.5703125" style="12" customWidth="1"/>
    <col min="2823" max="2823" width="2" style="12" customWidth="1"/>
    <col min="2824" max="2824" width="11.42578125" style="12" customWidth="1"/>
    <col min="2825" max="3072" width="31.42578125" style="12"/>
    <col min="3073" max="3073" width="2.140625" style="12" customWidth="1"/>
    <col min="3074" max="3074" width="2.5703125" style="12" customWidth="1"/>
    <col min="3075" max="3075" width="51" style="12" customWidth="1"/>
    <col min="3076" max="3076" width="21.42578125" style="12" bestFit="1" customWidth="1"/>
    <col min="3077" max="3077" width="21.140625" style="12" bestFit="1" customWidth="1"/>
    <col min="3078" max="3078" width="18.5703125" style="12" customWidth="1"/>
    <col min="3079" max="3079" width="2" style="12" customWidth="1"/>
    <col min="3080" max="3080" width="11.42578125" style="12" customWidth="1"/>
    <col min="3081" max="3328" width="31.42578125" style="12"/>
    <col min="3329" max="3329" width="2.140625" style="12" customWidth="1"/>
    <col min="3330" max="3330" width="2.5703125" style="12" customWidth="1"/>
    <col min="3331" max="3331" width="51" style="12" customWidth="1"/>
    <col min="3332" max="3332" width="21.42578125" style="12" bestFit="1" customWidth="1"/>
    <col min="3333" max="3333" width="21.140625" style="12" bestFit="1" customWidth="1"/>
    <col min="3334" max="3334" width="18.5703125" style="12" customWidth="1"/>
    <col min="3335" max="3335" width="2" style="12" customWidth="1"/>
    <col min="3336" max="3336" width="11.42578125" style="12" customWidth="1"/>
    <col min="3337" max="3584" width="31.42578125" style="12"/>
    <col min="3585" max="3585" width="2.140625" style="12" customWidth="1"/>
    <col min="3586" max="3586" width="2.5703125" style="12" customWidth="1"/>
    <col min="3587" max="3587" width="51" style="12" customWidth="1"/>
    <col min="3588" max="3588" width="21.42578125" style="12" bestFit="1" customWidth="1"/>
    <col min="3589" max="3589" width="21.140625" style="12" bestFit="1" customWidth="1"/>
    <col min="3590" max="3590" width="18.5703125" style="12" customWidth="1"/>
    <col min="3591" max="3591" width="2" style="12" customWidth="1"/>
    <col min="3592" max="3592" width="11.42578125" style="12" customWidth="1"/>
    <col min="3593" max="3840" width="31.42578125" style="12"/>
    <col min="3841" max="3841" width="2.140625" style="12" customWidth="1"/>
    <col min="3842" max="3842" width="2.5703125" style="12" customWidth="1"/>
    <col min="3843" max="3843" width="51" style="12" customWidth="1"/>
    <col min="3844" max="3844" width="21.42578125" style="12" bestFit="1" customWidth="1"/>
    <col min="3845" max="3845" width="21.140625" style="12" bestFit="1" customWidth="1"/>
    <col min="3846" max="3846" width="18.5703125" style="12" customWidth="1"/>
    <col min="3847" max="3847" width="2" style="12" customWidth="1"/>
    <col min="3848" max="3848" width="11.42578125" style="12" customWidth="1"/>
    <col min="3849" max="4096" width="31.42578125" style="12"/>
    <col min="4097" max="4097" width="2.140625" style="12" customWidth="1"/>
    <col min="4098" max="4098" width="2.5703125" style="12" customWidth="1"/>
    <col min="4099" max="4099" width="51" style="12" customWidth="1"/>
    <col min="4100" max="4100" width="21.42578125" style="12" bestFit="1" customWidth="1"/>
    <col min="4101" max="4101" width="21.140625" style="12" bestFit="1" customWidth="1"/>
    <col min="4102" max="4102" width="18.5703125" style="12" customWidth="1"/>
    <col min="4103" max="4103" width="2" style="12" customWidth="1"/>
    <col min="4104" max="4104" width="11.42578125" style="12" customWidth="1"/>
    <col min="4105" max="4352" width="31.42578125" style="12"/>
    <col min="4353" max="4353" width="2.140625" style="12" customWidth="1"/>
    <col min="4354" max="4354" width="2.5703125" style="12" customWidth="1"/>
    <col min="4355" max="4355" width="51" style="12" customWidth="1"/>
    <col min="4356" max="4356" width="21.42578125" style="12" bestFit="1" customWidth="1"/>
    <col min="4357" max="4357" width="21.140625" style="12" bestFit="1" customWidth="1"/>
    <col min="4358" max="4358" width="18.5703125" style="12" customWidth="1"/>
    <col min="4359" max="4359" width="2" style="12" customWidth="1"/>
    <col min="4360" max="4360" width="11.42578125" style="12" customWidth="1"/>
    <col min="4361" max="4608" width="31.42578125" style="12"/>
    <col min="4609" max="4609" width="2.140625" style="12" customWidth="1"/>
    <col min="4610" max="4610" width="2.5703125" style="12" customWidth="1"/>
    <col min="4611" max="4611" width="51" style="12" customWidth="1"/>
    <col min="4612" max="4612" width="21.42578125" style="12" bestFit="1" customWidth="1"/>
    <col min="4613" max="4613" width="21.140625" style="12" bestFit="1" customWidth="1"/>
    <col min="4614" max="4614" width="18.5703125" style="12" customWidth="1"/>
    <col min="4615" max="4615" width="2" style="12" customWidth="1"/>
    <col min="4616" max="4616" width="11.42578125" style="12" customWidth="1"/>
    <col min="4617" max="4864" width="31.42578125" style="12"/>
    <col min="4865" max="4865" width="2.140625" style="12" customWidth="1"/>
    <col min="4866" max="4866" width="2.5703125" style="12" customWidth="1"/>
    <col min="4867" max="4867" width="51" style="12" customWidth="1"/>
    <col min="4868" max="4868" width="21.42578125" style="12" bestFit="1" customWidth="1"/>
    <col min="4869" max="4869" width="21.140625" style="12" bestFit="1" customWidth="1"/>
    <col min="4870" max="4870" width="18.5703125" style="12" customWidth="1"/>
    <col min="4871" max="4871" width="2" style="12" customWidth="1"/>
    <col min="4872" max="4872" width="11.42578125" style="12" customWidth="1"/>
    <col min="4873" max="5120" width="31.42578125" style="12"/>
    <col min="5121" max="5121" width="2.140625" style="12" customWidth="1"/>
    <col min="5122" max="5122" width="2.5703125" style="12" customWidth="1"/>
    <col min="5123" max="5123" width="51" style="12" customWidth="1"/>
    <col min="5124" max="5124" width="21.42578125" style="12" bestFit="1" customWidth="1"/>
    <col min="5125" max="5125" width="21.140625" style="12" bestFit="1" customWidth="1"/>
    <col min="5126" max="5126" width="18.5703125" style="12" customWidth="1"/>
    <col min="5127" max="5127" width="2" style="12" customWidth="1"/>
    <col min="5128" max="5128" width="11.42578125" style="12" customWidth="1"/>
    <col min="5129" max="5376" width="31.42578125" style="12"/>
    <col min="5377" max="5377" width="2.140625" style="12" customWidth="1"/>
    <col min="5378" max="5378" width="2.5703125" style="12" customWidth="1"/>
    <col min="5379" max="5379" width="51" style="12" customWidth="1"/>
    <col min="5380" max="5380" width="21.42578125" style="12" bestFit="1" customWidth="1"/>
    <col min="5381" max="5381" width="21.140625" style="12" bestFit="1" customWidth="1"/>
    <col min="5382" max="5382" width="18.5703125" style="12" customWidth="1"/>
    <col min="5383" max="5383" width="2" style="12" customWidth="1"/>
    <col min="5384" max="5384" width="11.42578125" style="12" customWidth="1"/>
    <col min="5385" max="5632" width="31.42578125" style="12"/>
    <col min="5633" max="5633" width="2.140625" style="12" customWidth="1"/>
    <col min="5634" max="5634" width="2.5703125" style="12" customWidth="1"/>
    <col min="5635" max="5635" width="51" style="12" customWidth="1"/>
    <col min="5636" max="5636" width="21.42578125" style="12" bestFit="1" customWidth="1"/>
    <col min="5637" max="5637" width="21.140625" style="12" bestFit="1" customWidth="1"/>
    <col min="5638" max="5638" width="18.5703125" style="12" customWidth="1"/>
    <col min="5639" max="5639" width="2" style="12" customWidth="1"/>
    <col min="5640" max="5640" width="11.42578125" style="12" customWidth="1"/>
    <col min="5641" max="5888" width="31.42578125" style="12"/>
    <col min="5889" max="5889" width="2.140625" style="12" customWidth="1"/>
    <col min="5890" max="5890" width="2.5703125" style="12" customWidth="1"/>
    <col min="5891" max="5891" width="51" style="12" customWidth="1"/>
    <col min="5892" max="5892" width="21.42578125" style="12" bestFit="1" customWidth="1"/>
    <col min="5893" max="5893" width="21.140625" style="12" bestFit="1" customWidth="1"/>
    <col min="5894" max="5894" width="18.5703125" style="12" customWidth="1"/>
    <col min="5895" max="5895" width="2" style="12" customWidth="1"/>
    <col min="5896" max="5896" width="11.42578125" style="12" customWidth="1"/>
    <col min="5897" max="6144" width="31.42578125" style="12"/>
    <col min="6145" max="6145" width="2.140625" style="12" customWidth="1"/>
    <col min="6146" max="6146" width="2.5703125" style="12" customWidth="1"/>
    <col min="6147" max="6147" width="51" style="12" customWidth="1"/>
    <col min="6148" max="6148" width="21.42578125" style="12" bestFit="1" customWidth="1"/>
    <col min="6149" max="6149" width="21.140625" style="12" bestFit="1" customWidth="1"/>
    <col min="6150" max="6150" width="18.5703125" style="12" customWidth="1"/>
    <col min="6151" max="6151" width="2" style="12" customWidth="1"/>
    <col min="6152" max="6152" width="11.42578125" style="12" customWidth="1"/>
    <col min="6153" max="6400" width="31.42578125" style="12"/>
    <col min="6401" max="6401" width="2.140625" style="12" customWidth="1"/>
    <col min="6402" max="6402" width="2.5703125" style="12" customWidth="1"/>
    <col min="6403" max="6403" width="51" style="12" customWidth="1"/>
    <col min="6404" max="6404" width="21.42578125" style="12" bestFit="1" customWidth="1"/>
    <col min="6405" max="6405" width="21.140625" style="12" bestFit="1" customWidth="1"/>
    <col min="6406" max="6406" width="18.5703125" style="12" customWidth="1"/>
    <col min="6407" max="6407" width="2" style="12" customWidth="1"/>
    <col min="6408" max="6408" width="11.42578125" style="12" customWidth="1"/>
    <col min="6409" max="6656" width="31.42578125" style="12"/>
    <col min="6657" max="6657" width="2.140625" style="12" customWidth="1"/>
    <col min="6658" max="6658" width="2.5703125" style="12" customWidth="1"/>
    <col min="6659" max="6659" width="51" style="12" customWidth="1"/>
    <col min="6660" max="6660" width="21.42578125" style="12" bestFit="1" customWidth="1"/>
    <col min="6661" max="6661" width="21.140625" style="12" bestFit="1" customWidth="1"/>
    <col min="6662" max="6662" width="18.5703125" style="12" customWidth="1"/>
    <col min="6663" max="6663" width="2" style="12" customWidth="1"/>
    <col min="6664" max="6664" width="11.42578125" style="12" customWidth="1"/>
    <col min="6665" max="6912" width="31.42578125" style="12"/>
    <col min="6913" max="6913" width="2.140625" style="12" customWidth="1"/>
    <col min="6914" max="6914" width="2.5703125" style="12" customWidth="1"/>
    <col min="6915" max="6915" width="51" style="12" customWidth="1"/>
    <col min="6916" max="6916" width="21.42578125" style="12" bestFit="1" customWidth="1"/>
    <col min="6917" max="6917" width="21.140625" style="12" bestFit="1" customWidth="1"/>
    <col min="6918" max="6918" width="18.5703125" style="12" customWidth="1"/>
    <col min="6919" max="6919" width="2" style="12" customWidth="1"/>
    <col min="6920" max="6920" width="11.42578125" style="12" customWidth="1"/>
    <col min="6921" max="7168" width="31.42578125" style="12"/>
    <col min="7169" max="7169" width="2.140625" style="12" customWidth="1"/>
    <col min="7170" max="7170" width="2.5703125" style="12" customWidth="1"/>
    <col min="7171" max="7171" width="51" style="12" customWidth="1"/>
    <col min="7172" max="7172" width="21.42578125" style="12" bestFit="1" customWidth="1"/>
    <col min="7173" max="7173" width="21.140625" style="12" bestFit="1" customWidth="1"/>
    <col min="7174" max="7174" width="18.5703125" style="12" customWidth="1"/>
    <col min="7175" max="7175" width="2" style="12" customWidth="1"/>
    <col min="7176" max="7176" width="11.42578125" style="12" customWidth="1"/>
    <col min="7177" max="7424" width="31.42578125" style="12"/>
    <col min="7425" max="7425" width="2.140625" style="12" customWidth="1"/>
    <col min="7426" max="7426" width="2.5703125" style="12" customWidth="1"/>
    <col min="7427" max="7427" width="51" style="12" customWidth="1"/>
    <col min="7428" max="7428" width="21.42578125" style="12" bestFit="1" customWidth="1"/>
    <col min="7429" max="7429" width="21.140625" style="12" bestFit="1" customWidth="1"/>
    <col min="7430" max="7430" width="18.5703125" style="12" customWidth="1"/>
    <col min="7431" max="7431" width="2" style="12" customWidth="1"/>
    <col min="7432" max="7432" width="11.42578125" style="12" customWidth="1"/>
    <col min="7433" max="7680" width="31.42578125" style="12"/>
    <col min="7681" max="7681" width="2.140625" style="12" customWidth="1"/>
    <col min="7682" max="7682" width="2.5703125" style="12" customWidth="1"/>
    <col min="7683" max="7683" width="51" style="12" customWidth="1"/>
    <col min="7684" max="7684" width="21.42578125" style="12" bestFit="1" customWidth="1"/>
    <col min="7685" max="7685" width="21.140625" style="12" bestFit="1" customWidth="1"/>
    <col min="7686" max="7686" width="18.5703125" style="12" customWidth="1"/>
    <col min="7687" max="7687" width="2" style="12" customWidth="1"/>
    <col min="7688" max="7688" width="11.42578125" style="12" customWidth="1"/>
    <col min="7689" max="7936" width="31.42578125" style="12"/>
    <col min="7937" max="7937" width="2.140625" style="12" customWidth="1"/>
    <col min="7938" max="7938" width="2.5703125" style="12" customWidth="1"/>
    <col min="7939" max="7939" width="51" style="12" customWidth="1"/>
    <col min="7940" max="7940" width="21.42578125" style="12" bestFit="1" customWidth="1"/>
    <col min="7941" max="7941" width="21.140625" style="12" bestFit="1" customWidth="1"/>
    <col min="7942" max="7942" width="18.5703125" style="12" customWidth="1"/>
    <col min="7943" max="7943" width="2" style="12" customWidth="1"/>
    <col min="7944" max="7944" width="11.42578125" style="12" customWidth="1"/>
    <col min="7945" max="8192" width="31.42578125" style="12"/>
    <col min="8193" max="8193" width="2.140625" style="12" customWidth="1"/>
    <col min="8194" max="8194" width="2.5703125" style="12" customWidth="1"/>
    <col min="8195" max="8195" width="51" style="12" customWidth="1"/>
    <col min="8196" max="8196" width="21.42578125" style="12" bestFit="1" customWidth="1"/>
    <col min="8197" max="8197" width="21.140625" style="12" bestFit="1" customWidth="1"/>
    <col min="8198" max="8198" width="18.5703125" style="12" customWidth="1"/>
    <col min="8199" max="8199" width="2" style="12" customWidth="1"/>
    <col min="8200" max="8200" width="11.42578125" style="12" customWidth="1"/>
    <col min="8201" max="8448" width="31.42578125" style="12"/>
    <col min="8449" max="8449" width="2.140625" style="12" customWidth="1"/>
    <col min="8450" max="8450" width="2.5703125" style="12" customWidth="1"/>
    <col min="8451" max="8451" width="51" style="12" customWidth="1"/>
    <col min="8452" max="8452" width="21.42578125" style="12" bestFit="1" customWidth="1"/>
    <col min="8453" max="8453" width="21.140625" style="12" bestFit="1" customWidth="1"/>
    <col min="8454" max="8454" width="18.5703125" style="12" customWidth="1"/>
    <col min="8455" max="8455" width="2" style="12" customWidth="1"/>
    <col min="8456" max="8456" width="11.42578125" style="12" customWidth="1"/>
    <col min="8457" max="8704" width="31.42578125" style="12"/>
    <col min="8705" max="8705" width="2.140625" style="12" customWidth="1"/>
    <col min="8706" max="8706" width="2.5703125" style="12" customWidth="1"/>
    <col min="8707" max="8707" width="51" style="12" customWidth="1"/>
    <col min="8708" max="8708" width="21.42578125" style="12" bestFit="1" customWidth="1"/>
    <col min="8709" max="8709" width="21.140625" style="12" bestFit="1" customWidth="1"/>
    <col min="8710" max="8710" width="18.5703125" style="12" customWidth="1"/>
    <col min="8711" max="8711" width="2" style="12" customWidth="1"/>
    <col min="8712" max="8712" width="11.42578125" style="12" customWidth="1"/>
    <col min="8713" max="8960" width="31.42578125" style="12"/>
    <col min="8961" max="8961" width="2.140625" style="12" customWidth="1"/>
    <col min="8962" max="8962" width="2.5703125" style="12" customWidth="1"/>
    <col min="8963" max="8963" width="51" style="12" customWidth="1"/>
    <col min="8964" max="8964" width="21.42578125" style="12" bestFit="1" customWidth="1"/>
    <col min="8965" max="8965" width="21.140625" style="12" bestFit="1" customWidth="1"/>
    <col min="8966" max="8966" width="18.5703125" style="12" customWidth="1"/>
    <col min="8967" max="8967" width="2" style="12" customWidth="1"/>
    <col min="8968" max="8968" width="11.42578125" style="12" customWidth="1"/>
    <col min="8969" max="9216" width="31.42578125" style="12"/>
    <col min="9217" max="9217" width="2.140625" style="12" customWidth="1"/>
    <col min="9218" max="9218" width="2.5703125" style="12" customWidth="1"/>
    <col min="9219" max="9219" width="51" style="12" customWidth="1"/>
    <col min="9220" max="9220" width="21.42578125" style="12" bestFit="1" customWidth="1"/>
    <col min="9221" max="9221" width="21.140625" style="12" bestFit="1" customWidth="1"/>
    <col min="9222" max="9222" width="18.5703125" style="12" customWidth="1"/>
    <col min="9223" max="9223" width="2" style="12" customWidth="1"/>
    <col min="9224" max="9224" width="11.42578125" style="12" customWidth="1"/>
    <col min="9225" max="9472" width="31.42578125" style="12"/>
    <col min="9473" max="9473" width="2.140625" style="12" customWidth="1"/>
    <col min="9474" max="9474" width="2.5703125" style="12" customWidth="1"/>
    <col min="9475" max="9475" width="51" style="12" customWidth="1"/>
    <col min="9476" max="9476" width="21.42578125" style="12" bestFit="1" customWidth="1"/>
    <col min="9477" max="9477" width="21.140625" style="12" bestFit="1" customWidth="1"/>
    <col min="9478" max="9478" width="18.5703125" style="12" customWidth="1"/>
    <col min="9479" max="9479" width="2" style="12" customWidth="1"/>
    <col min="9480" max="9480" width="11.42578125" style="12" customWidth="1"/>
    <col min="9481" max="9728" width="31.42578125" style="12"/>
    <col min="9729" max="9729" width="2.140625" style="12" customWidth="1"/>
    <col min="9730" max="9730" width="2.5703125" style="12" customWidth="1"/>
    <col min="9731" max="9731" width="51" style="12" customWidth="1"/>
    <col min="9732" max="9732" width="21.42578125" style="12" bestFit="1" customWidth="1"/>
    <col min="9733" max="9733" width="21.140625" style="12" bestFit="1" customWidth="1"/>
    <col min="9734" max="9734" width="18.5703125" style="12" customWidth="1"/>
    <col min="9735" max="9735" width="2" style="12" customWidth="1"/>
    <col min="9736" max="9736" width="11.42578125" style="12" customWidth="1"/>
    <col min="9737" max="9984" width="31.42578125" style="12"/>
    <col min="9985" max="9985" width="2.140625" style="12" customWidth="1"/>
    <col min="9986" max="9986" width="2.5703125" style="12" customWidth="1"/>
    <col min="9987" max="9987" width="51" style="12" customWidth="1"/>
    <col min="9988" max="9988" width="21.42578125" style="12" bestFit="1" customWidth="1"/>
    <col min="9989" max="9989" width="21.140625" style="12" bestFit="1" customWidth="1"/>
    <col min="9990" max="9990" width="18.5703125" style="12" customWidth="1"/>
    <col min="9991" max="9991" width="2" style="12" customWidth="1"/>
    <col min="9992" max="9992" width="11.42578125" style="12" customWidth="1"/>
    <col min="9993" max="10240" width="31.42578125" style="12"/>
    <col min="10241" max="10241" width="2.140625" style="12" customWidth="1"/>
    <col min="10242" max="10242" width="2.5703125" style="12" customWidth="1"/>
    <col min="10243" max="10243" width="51" style="12" customWidth="1"/>
    <col min="10244" max="10244" width="21.42578125" style="12" bestFit="1" customWidth="1"/>
    <col min="10245" max="10245" width="21.140625" style="12" bestFit="1" customWidth="1"/>
    <col min="10246" max="10246" width="18.5703125" style="12" customWidth="1"/>
    <col min="10247" max="10247" width="2" style="12" customWidth="1"/>
    <col min="10248" max="10248" width="11.42578125" style="12" customWidth="1"/>
    <col min="10249" max="10496" width="31.42578125" style="12"/>
    <col min="10497" max="10497" width="2.140625" style="12" customWidth="1"/>
    <col min="10498" max="10498" width="2.5703125" style="12" customWidth="1"/>
    <col min="10499" max="10499" width="51" style="12" customWidth="1"/>
    <col min="10500" max="10500" width="21.42578125" style="12" bestFit="1" customWidth="1"/>
    <col min="10501" max="10501" width="21.140625" style="12" bestFit="1" customWidth="1"/>
    <col min="10502" max="10502" width="18.5703125" style="12" customWidth="1"/>
    <col min="10503" max="10503" width="2" style="12" customWidth="1"/>
    <col min="10504" max="10504" width="11.42578125" style="12" customWidth="1"/>
    <col min="10505" max="10752" width="31.42578125" style="12"/>
    <col min="10753" max="10753" width="2.140625" style="12" customWidth="1"/>
    <col min="10754" max="10754" width="2.5703125" style="12" customWidth="1"/>
    <col min="10755" max="10755" width="51" style="12" customWidth="1"/>
    <col min="10756" max="10756" width="21.42578125" style="12" bestFit="1" customWidth="1"/>
    <col min="10757" max="10757" width="21.140625" style="12" bestFit="1" customWidth="1"/>
    <col min="10758" max="10758" width="18.5703125" style="12" customWidth="1"/>
    <col min="10759" max="10759" width="2" style="12" customWidth="1"/>
    <col min="10760" max="10760" width="11.42578125" style="12" customWidth="1"/>
    <col min="10761" max="11008" width="31.42578125" style="12"/>
    <col min="11009" max="11009" width="2.140625" style="12" customWidth="1"/>
    <col min="11010" max="11010" width="2.5703125" style="12" customWidth="1"/>
    <col min="11011" max="11011" width="51" style="12" customWidth="1"/>
    <col min="11012" max="11012" width="21.42578125" style="12" bestFit="1" customWidth="1"/>
    <col min="11013" max="11013" width="21.140625" style="12" bestFit="1" customWidth="1"/>
    <col min="11014" max="11014" width="18.5703125" style="12" customWidth="1"/>
    <col min="11015" max="11015" width="2" style="12" customWidth="1"/>
    <col min="11016" max="11016" width="11.42578125" style="12" customWidth="1"/>
    <col min="11017" max="11264" width="31.42578125" style="12"/>
    <col min="11265" max="11265" width="2.140625" style="12" customWidth="1"/>
    <col min="11266" max="11266" width="2.5703125" style="12" customWidth="1"/>
    <col min="11267" max="11267" width="51" style="12" customWidth="1"/>
    <col min="11268" max="11268" width="21.42578125" style="12" bestFit="1" customWidth="1"/>
    <col min="11269" max="11269" width="21.140625" style="12" bestFit="1" customWidth="1"/>
    <col min="11270" max="11270" width="18.5703125" style="12" customWidth="1"/>
    <col min="11271" max="11271" width="2" style="12" customWidth="1"/>
    <col min="11272" max="11272" width="11.42578125" style="12" customWidth="1"/>
    <col min="11273" max="11520" width="31.42578125" style="12"/>
    <col min="11521" max="11521" width="2.140625" style="12" customWidth="1"/>
    <col min="11522" max="11522" width="2.5703125" style="12" customWidth="1"/>
    <col min="11523" max="11523" width="51" style="12" customWidth="1"/>
    <col min="11524" max="11524" width="21.42578125" style="12" bestFit="1" customWidth="1"/>
    <col min="11525" max="11525" width="21.140625" style="12" bestFit="1" customWidth="1"/>
    <col min="11526" max="11526" width="18.5703125" style="12" customWidth="1"/>
    <col min="11527" max="11527" width="2" style="12" customWidth="1"/>
    <col min="11528" max="11528" width="11.42578125" style="12" customWidth="1"/>
    <col min="11529" max="11776" width="31.42578125" style="12"/>
    <col min="11777" max="11777" width="2.140625" style="12" customWidth="1"/>
    <col min="11778" max="11778" width="2.5703125" style="12" customWidth="1"/>
    <col min="11779" max="11779" width="51" style="12" customWidth="1"/>
    <col min="11780" max="11780" width="21.42578125" style="12" bestFit="1" customWidth="1"/>
    <col min="11781" max="11781" width="21.140625" style="12" bestFit="1" customWidth="1"/>
    <col min="11782" max="11782" width="18.5703125" style="12" customWidth="1"/>
    <col min="11783" max="11783" width="2" style="12" customWidth="1"/>
    <col min="11784" max="11784" width="11.42578125" style="12" customWidth="1"/>
    <col min="11785" max="12032" width="31.42578125" style="12"/>
    <col min="12033" max="12033" width="2.140625" style="12" customWidth="1"/>
    <col min="12034" max="12034" width="2.5703125" style="12" customWidth="1"/>
    <col min="12035" max="12035" width="51" style="12" customWidth="1"/>
    <col min="12036" max="12036" width="21.42578125" style="12" bestFit="1" customWidth="1"/>
    <col min="12037" max="12037" width="21.140625" style="12" bestFit="1" customWidth="1"/>
    <col min="12038" max="12038" width="18.5703125" style="12" customWidth="1"/>
    <col min="12039" max="12039" width="2" style="12" customWidth="1"/>
    <col min="12040" max="12040" width="11.42578125" style="12" customWidth="1"/>
    <col min="12041" max="12288" width="31.42578125" style="12"/>
    <col min="12289" max="12289" width="2.140625" style="12" customWidth="1"/>
    <col min="12290" max="12290" width="2.5703125" style="12" customWidth="1"/>
    <col min="12291" max="12291" width="51" style="12" customWidth="1"/>
    <col min="12292" max="12292" width="21.42578125" style="12" bestFit="1" customWidth="1"/>
    <col min="12293" max="12293" width="21.140625" style="12" bestFit="1" customWidth="1"/>
    <col min="12294" max="12294" width="18.5703125" style="12" customWidth="1"/>
    <col min="12295" max="12295" width="2" style="12" customWidth="1"/>
    <col min="12296" max="12296" width="11.42578125" style="12" customWidth="1"/>
    <col min="12297" max="12544" width="31.42578125" style="12"/>
    <col min="12545" max="12545" width="2.140625" style="12" customWidth="1"/>
    <col min="12546" max="12546" width="2.5703125" style="12" customWidth="1"/>
    <col min="12547" max="12547" width="51" style="12" customWidth="1"/>
    <col min="12548" max="12548" width="21.42578125" style="12" bestFit="1" customWidth="1"/>
    <col min="12549" max="12549" width="21.140625" style="12" bestFit="1" customWidth="1"/>
    <col min="12550" max="12550" width="18.5703125" style="12" customWidth="1"/>
    <col min="12551" max="12551" width="2" style="12" customWidth="1"/>
    <col min="12552" max="12552" width="11.42578125" style="12" customWidth="1"/>
    <col min="12553" max="12800" width="31.42578125" style="12"/>
    <col min="12801" max="12801" width="2.140625" style="12" customWidth="1"/>
    <col min="12802" max="12802" width="2.5703125" style="12" customWidth="1"/>
    <col min="12803" max="12803" width="51" style="12" customWidth="1"/>
    <col min="12804" max="12804" width="21.42578125" style="12" bestFit="1" customWidth="1"/>
    <col min="12805" max="12805" width="21.140625" style="12" bestFit="1" customWidth="1"/>
    <col min="12806" max="12806" width="18.5703125" style="12" customWidth="1"/>
    <col min="12807" max="12807" width="2" style="12" customWidth="1"/>
    <col min="12808" max="12808" width="11.42578125" style="12" customWidth="1"/>
    <col min="12809" max="13056" width="31.42578125" style="12"/>
    <col min="13057" max="13057" width="2.140625" style="12" customWidth="1"/>
    <col min="13058" max="13058" width="2.5703125" style="12" customWidth="1"/>
    <col min="13059" max="13059" width="51" style="12" customWidth="1"/>
    <col min="13060" max="13060" width="21.42578125" style="12" bestFit="1" customWidth="1"/>
    <col min="13061" max="13061" width="21.140625" style="12" bestFit="1" customWidth="1"/>
    <col min="13062" max="13062" width="18.5703125" style="12" customWidth="1"/>
    <col min="13063" max="13063" width="2" style="12" customWidth="1"/>
    <col min="13064" max="13064" width="11.42578125" style="12" customWidth="1"/>
    <col min="13065" max="13312" width="31.42578125" style="12"/>
    <col min="13313" max="13313" width="2.140625" style="12" customWidth="1"/>
    <col min="13314" max="13314" width="2.5703125" style="12" customWidth="1"/>
    <col min="13315" max="13315" width="51" style="12" customWidth="1"/>
    <col min="13316" max="13316" width="21.42578125" style="12" bestFit="1" customWidth="1"/>
    <col min="13317" max="13317" width="21.140625" style="12" bestFit="1" customWidth="1"/>
    <col min="13318" max="13318" width="18.5703125" style="12" customWidth="1"/>
    <col min="13319" max="13319" width="2" style="12" customWidth="1"/>
    <col min="13320" max="13320" width="11.42578125" style="12" customWidth="1"/>
    <col min="13321" max="13568" width="31.42578125" style="12"/>
    <col min="13569" max="13569" width="2.140625" style="12" customWidth="1"/>
    <col min="13570" max="13570" width="2.5703125" style="12" customWidth="1"/>
    <col min="13571" max="13571" width="51" style="12" customWidth="1"/>
    <col min="13572" max="13572" width="21.42578125" style="12" bestFit="1" customWidth="1"/>
    <col min="13573" max="13573" width="21.140625" style="12" bestFit="1" customWidth="1"/>
    <col min="13574" max="13574" width="18.5703125" style="12" customWidth="1"/>
    <col min="13575" max="13575" width="2" style="12" customWidth="1"/>
    <col min="13576" max="13576" width="11.42578125" style="12" customWidth="1"/>
    <col min="13577" max="13824" width="31.42578125" style="12"/>
    <col min="13825" max="13825" width="2.140625" style="12" customWidth="1"/>
    <col min="13826" max="13826" width="2.5703125" style="12" customWidth="1"/>
    <col min="13827" max="13827" width="51" style="12" customWidth="1"/>
    <col min="13828" max="13828" width="21.42578125" style="12" bestFit="1" customWidth="1"/>
    <col min="13829" max="13829" width="21.140625" style="12" bestFit="1" customWidth="1"/>
    <col min="13830" max="13830" width="18.5703125" style="12" customWidth="1"/>
    <col min="13831" max="13831" width="2" style="12" customWidth="1"/>
    <col min="13832" max="13832" width="11.42578125" style="12" customWidth="1"/>
    <col min="13833" max="14080" width="31.42578125" style="12"/>
    <col min="14081" max="14081" width="2.140625" style="12" customWidth="1"/>
    <col min="14082" max="14082" width="2.5703125" style="12" customWidth="1"/>
    <col min="14083" max="14083" width="51" style="12" customWidth="1"/>
    <col min="14084" max="14084" width="21.42578125" style="12" bestFit="1" customWidth="1"/>
    <col min="14085" max="14085" width="21.140625" style="12" bestFit="1" customWidth="1"/>
    <col min="14086" max="14086" width="18.5703125" style="12" customWidth="1"/>
    <col min="14087" max="14087" width="2" style="12" customWidth="1"/>
    <col min="14088" max="14088" width="11.42578125" style="12" customWidth="1"/>
    <col min="14089" max="14336" width="31.42578125" style="12"/>
    <col min="14337" max="14337" width="2.140625" style="12" customWidth="1"/>
    <col min="14338" max="14338" width="2.5703125" style="12" customWidth="1"/>
    <col min="14339" max="14339" width="51" style="12" customWidth="1"/>
    <col min="14340" max="14340" width="21.42578125" style="12" bestFit="1" customWidth="1"/>
    <col min="14341" max="14341" width="21.140625" style="12" bestFit="1" customWidth="1"/>
    <col min="14342" max="14342" width="18.5703125" style="12" customWidth="1"/>
    <col min="14343" max="14343" width="2" style="12" customWidth="1"/>
    <col min="14344" max="14344" width="11.42578125" style="12" customWidth="1"/>
    <col min="14345" max="14592" width="31.42578125" style="12"/>
    <col min="14593" max="14593" width="2.140625" style="12" customWidth="1"/>
    <col min="14594" max="14594" width="2.5703125" style="12" customWidth="1"/>
    <col min="14595" max="14595" width="51" style="12" customWidth="1"/>
    <col min="14596" max="14596" width="21.42578125" style="12" bestFit="1" customWidth="1"/>
    <col min="14597" max="14597" width="21.140625" style="12" bestFit="1" customWidth="1"/>
    <col min="14598" max="14598" width="18.5703125" style="12" customWidth="1"/>
    <col min="14599" max="14599" width="2" style="12" customWidth="1"/>
    <col min="14600" max="14600" width="11.42578125" style="12" customWidth="1"/>
    <col min="14601" max="14848" width="31.42578125" style="12"/>
    <col min="14849" max="14849" width="2.140625" style="12" customWidth="1"/>
    <col min="14850" max="14850" width="2.5703125" style="12" customWidth="1"/>
    <col min="14851" max="14851" width="51" style="12" customWidth="1"/>
    <col min="14852" max="14852" width="21.42578125" style="12" bestFit="1" customWidth="1"/>
    <col min="14853" max="14853" width="21.140625" style="12" bestFit="1" customWidth="1"/>
    <col min="14854" max="14854" width="18.5703125" style="12" customWidth="1"/>
    <col min="14855" max="14855" width="2" style="12" customWidth="1"/>
    <col min="14856" max="14856" width="11.42578125" style="12" customWidth="1"/>
    <col min="14857" max="15104" width="31.42578125" style="12"/>
    <col min="15105" max="15105" width="2.140625" style="12" customWidth="1"/>
    <col min="15106" max="15106" width="2.5703125" style="12" customWidth="1"/>
    <col min="15107" max="15107" width="51" style="12" customWidth="1"/>
    <col min="15108" max="15108" width="21.42578125" style="12" bestFit="1" customWidth="1"/>
    <col min="15109" max="15109" width="21.140625" style="12" bestFit="1" customWidth="1"/>
    <col min="15110" max="15110" width="18.5703125" style="12" customWidth="1"/>
    <col min="15111" max="15111" width="2" style="12" customWidth="1"/>
    <col min="15112" max="15112" width="11.42578125" style="12" customWidth="1"/>
    <col min="15113" max="15360" width="31.42578125" style="12"/>
    <col min="15361" max="15361" width="2.140625" style="12" customWidth="1"/>
    <col min="15362" max="15362" width="2.5703125" style="12" customWidth="1"/>
    <col min="15363" max="15363" width="51" style="12" customWidth="1"/>
    <col min="15364" max="15364" width="21.42578125" style="12" bestFit="1" customWidth="1"/>
    <col min="15365" max="15365" width="21.140625" style="12" bestFit="1" customWidth="1"/>
    <col min="15366" max="15366" width="18.5703125" style="12" customWidth="1"/>
    <col min="15367" max="15367" width="2" style="12" customWidth="1"/>
    <col min="15368" max="15368" width="11.42578125" style="12" customWidth="1"/>
    <col min="15369" max="15616" width="31.42578125" style="12"/>
    <col min="15617" max="15617" width="2.140625" style="12" customWidth="1"/>
    <col min="15618" max="15618" width="2.5703125" style="12" customWidth="1"/>
    <col min="15619" max="15619" width="51" style="12" customWidth="1"/>
    <col min="15620" max="15620" width="21.42578125" style="12" bestFit="1" customWidth="1"/>
    <col min="15621" max="15621" width="21.140625" style="12" bestFit="1" customWidth="1"/>
    <col min="15622" max="15622" width="18.5703125" style="12" customWidth="1"/>
    <col min="15623" max="15623" width="2" style="12" customWidth="1"/>
    <col min="15624" max="15624" width="11.42578125" style="12" customWidth="1"/>
    <col min="15625" max="15872" width="31.42578125" style="12"/>
    <col min="15873" max="15873" width="2.140625" style="12" customWidth="1"/>
    <col min="15874" max="15874" width="2.5703125" style="12" customWidth="1"/>
    <col min="15875" max="15875" width="51" style="12" customWidth="1"/>
    <col min="15876" max="15876" width="21.42578125" style="12" bestFit="1" customWidth="1"/>
    <col min="15877" max="15877" width="21.140625" style="12" bestFit="1" customWidth="1"/>
    <col min="15878" max="15878" width="18.5703125" style="12" customWidth="1"/>
    <col min="15879" max="15879" width="2" style="12" customWidth="1"/>
    <col min="15880" max="15880" width="11.42578125" style="12" customWidth="1"/>
    <col min="15881" max="16128" width="31.42578125" style="12"/>
    <col min="16129" max="16129" width="2.140625" style="12" customWidth="1"/>
    <col min="16130" max="16130" width="2.5703125" style="12" customWidth="1"/>
    <col min="16131" max="16131" width="51" style="12" customWidth="1"/>
    <col min="16132" max="16132" width="21.42578125" style="12" bestFit="1" customWidth="1"/>
    <col min="16133" max="16133" width="21.140625" style="12" bestFit="1" customWidth="1"/>
    <col min="16134" max="16134" width="18.5703125" style="12" customWidth="1"/>
    <col min="16135" max="16135" width="2" style="12" customWidth="1"/>
    <col min="16136" max="16136" width="11.42578125" style="12" customWidth="1"/>
    <col min="16137" max="16384" width="31.42578125" style="12"/>
  </cols>
  <sheetData>
    <row r="1" spans="1:8" ht="13.5" thickBot="1">
      <c r="A1" s="511" t="s">
        <v>541</v>
      </c>
      <c r="B1" s="512"/>
      <c r="C1" s="512"/>
      <c r="D1" s="512"/>
      <c r="E1" s="512"/>
      <c r="F1" s="512"/>
      <c r="G1" s="513"/>
      <c r="H1" s="11"/>
    </row>
    <row r="2" spans="1:8" ht="13.5" thickTop="1">
      <c r="A2" s="514" t="s">
        <v>362</v>
      </c>
      <c r="B2" s="515"/>
      <c r="C2" s="515"/>
      <c r="D2" s="515"/>
      <c r="E2" s="515"/>
      <c r="F2" s="515"/>
      <c r="G2" s="516"/>
      <c r="H2" s="11"/>
    </row>
    <row r="3" spans="1:8">
      <c r="A3" s="517" t="s">
        <v>369</v>
      </c>
      <c r="B3" s="518"/>
      <c r="C3" s="518"/>
      <c r="D3" s="518"/>
      <c r="E3" s="518"/>
      <c r="F3" s="518"/>
      <c r="G3" s="519"/>
      <c r="H3" s="11"/>
    </row>
    <row r="4" spans="1:8">
      <c r="A4" s="520" t="s">
        <v>370</v>
      </c>
      <c r="B4" s="521"/>
      <c r="C4" s="521"/>
      <c r="D4" s="521"/>
      <c r="E4" s="521"/>
      <c r="F4" s="521"/>
      <c r="G4" s="522"/>
      <c r="H4" s="11"/>
    </row>
    <row r="5" spans="1:8">
      <c r="A5" s="13"/>
      <c r="B5" s="14"/>
      <c r="C5" s="15"/>
      <c r="D5" s="166"/>
      <c r="E5" s="171"/>
      <c r="F5" s="115"/>
      <c r="G5" s="168"/>
      <c r="H5" s="120"/>
    </row>
    <row r="6" spans="1:8">
      <c r="A6" s="17"/>
      <c r="C6" s="18"/>
      <c r="D6" s="168"/>
      <c r="E6" s="114"/>
      <c r="F6" s="161" t="s">
        <v>2</v>
      </c>
      <c r="G6" s="169"/>
      <c r="H6" s="120"/>
    </row>
    <row r="7" spans="1:8">
      <c r="A7" s="523" t="s">
        <v>371</v>
      </c>
      <c r="B7" s="524"/>
      <c r="C7" s="525"/>
      <c r="D7" s="169" t="s">
        <v>517</v>
      </c>
      <c r="E7" s="172" t="s">
        <v>3</v>
      </c>
      <c r="F7" s="161" t="s">
        <v>469</v>
      </c>
      <c r="G7" s="172" t="s">
        <v>3</v>
      </c>
      <c r="H7" s="120"/>
    </row>
    <row r="8" spans="1:8">
      <c r="A8" s="17"/>
      <c r="C8" s="18"/>
      <c r="D8" s="183" t="s">
        <v>514</v>
      </c>
      <c r="E8" s="173" t="s">
        <v>522</v>
      </c>
      <c r="F8" s="162" t="s">
        <v>539</v>
      </c>
      <c r="G8" s="173" t="s">
        <v>532</v>
      </c>
      <c r="H8" s="120"/>
    </row>
    <row r="9" spans="1:8">
      <c r="A9" s="17"/>
      <c r="C9" s="18"/>
      <c r="D9" s="168"/>
      <c r="E9" s="173"/>
      <c r="F9" s="162" t="s">
        <v>583</v>
      </c>
      <c r="G9" s="173"/>
      <c r="H9" s="120"/>
    </row>
    <row r="10" spans="1:8">
      <c r="A10" s="19"/>
      <c r="B10" s="20"/>
      <c r="C10" s="21"/>
      <c r="D10" s="174" t="s">
        <v>363</v>
      </c>
      <c r="E10" s="175" t="s">
        <v>363</v>
      </c>
      <c r="F10" s="175" t="s">
        <v>363</v>
      </c>
      <c r="G10" s="175" t="s">
        <v>363</v>
      </c>
      <c r="H10" s="120"/>
    </row>
    <row r="11" spans="1:8">
      <c r="A11" s="13"/>
      <c r="B11" s="14"/>
      <c r="C11" s="22"/>
      <c r="D11" s="166"/>
      <c r="E11" s="164"/>
      <c r="F11" s="115"/>
      <c r="G11" s="166"/>
      <c r="H11" s="120"/>
    </row>
    <row r="12" spans="1:8">
      <c r="A12" s="17"/>
      <c r="B12" s="12" t="s">
        <v>8</v>
      </c>
      <c r="C12" s="206" t="s">
        <v>9</v>
      </c>
      <c r="D12" s="167"/>
      <c r="E12" s="120"/>
      <c r="F12" s="142" t="s">
        <v>1</v>
      </c>
      <c r="G12" s="168"/>
      <c r="H12" s="120"/>
    </row>
    <row r="13" spans="1:8">
      <c r="A13" s="17"/>
      <c r="C13" s="120"/>
      <c r="D13" s="168"/>
      <c r="E13" s="120"/>
      <c r="G13" s="168"/>
      <c r="H13" s="120"/>
    </row>
    <row r="14" spans="1:8">
      <c r="A14" s="17"/>
      <c r="C14" s="206" t="s">
        <v>372</v>
      </c>
      <c r="D14" s="167"/>
      <c r="E14" s="165"/>
      <c r="F14" s="160"/>
      <c r="G14" s="168"/>
      <c r="H14" s="120"/>
    </row>
    <row r="15" spans="1:8">
      <c r="A15" s="17"/>
      <c r="C15" s="207" t="s">
        <v>380</v>
      </c>
      <c r="D15" s="561">
        <v>44681246175</v>
      </c>
      <c r="E15" s="185">
        <v>47155955181.580002</v>
      </c>
      <c r="F15" s="186">
        <f>'STATEMENT 2'!I13</f>
        <v>29444069045.610001</v>
      </c>
      <c r="G15" s="184">
        <f>'STATEMENT 2'!J13</f>
        <v>47200478898.809998</v>
      </c>
      <c r="H15" s="120"/>
    </row>
    <row r="16" spans="1:8">
      <c r="A16" s="17"/>
      <c r="C16" s="207" t="s">
        <v>384</v>
      </c>
      <c r="D16" s="561">
        <v>158263712790</v>
      </c>
      <c r="E16" s="185">
        <f>'STATEMENT 2'!H14+'STATEMENT 2'!H15+'STATEMENT 2'!H16</f>
        <v>167116337030.57999</v>
      </c>
      <c r="F16" s="186">
        <f>'STATEMENT 2'!I14+'STATEMENT 2'!I15+'STATEMENT 2'!I16</f>
        <v>96068209506.389984</v>
      </c>
      <c r="G16" s="184">
        <f>'STATEMENT 2'!J14+'STATEMENT 2'!J15+'STATEMENT 2'!J16</f>
        <v>166511866961.87997</v>
      </c>
      <c r="H16" s="120"/>
    </row>
    <row r="17" spans="1:8">
      <c r="A17" s="17"/>
      <c r="C17" s="207" t="s">
        <v>245</v>
      </c>
      <c r="D17" s="561">
        <v>7105744394</v>
      </c>
      <c r="E17" s="185">
        <v>8383249635</v>
      </c>
      <c r="F17" s="186">
        <f>'STATEMENT 2'!I17+'STATEMENT 2'!I18</f>
        <v>5111692670.6699991</v>
      </c>
      <c r="G17" s="184">
        <f>'STATEMENT 2'!J17+'STATEMENT 2'!J18</f>
        <v>7453051806.3899994</v>
      </c>
      <c r="H17" s="120"/>
    </row>
    <row r="18" spans="1:8">
      <c r="A18" s="17"/>
      <c r="C18" s="207" t="s">
        <v>429</v>
      </c>
      <c r="D18" s="561">
        <v>4449579480</v>
      </c>
      <c r="E18" s="185">
        <v>4919511150</v>
      </c>
      <c r="F18" s="186">
        <f>'STATEMENT 2'!I19</f>
        <v>3419379549.4599996</v>
      </c>
      <c r="G18" s="184">
        <f>'STATEMENT 2'!J19</f>
        <v>4745650759.6800003</v>
      </c>
      <c r="H18" s="120"/>
    </row>
    <row r="19" spans="1:8">
      <c r="A19" s="17"/>
      <c r="C19" s="207" t="s">
        <v>247</v>
      </c>
      <c r="D19" s="561">
        <v>197327175</v>
      </c>
      <c r="E19" s="185">
        <v>357271451</v>
      </c>
      <c r="F19" s="186">
        <f>'STATEMENT 2'!I25+'STATEMENT 2'!I20+'STATEMENT 2'!I22+'STATEMENT 2'!I23+'STATEMENT 2'!I24</f>
        <v>98494236.150000006</v>
      </c>
      <c r="G19" s="184">
        <f>'STATEMENT 2'!J20+'STATEMENT 2'!J21+'STATEMENT 2'!J22+'STATEMENT 2'!J23+'STATEMENT 2'!J24+'STATEMENT 2'!J25</f>
        <v>610748119.03000021</v>
      </c>
      <c r="H19" s="120"/>
    </row>
    <row r="20" spans="1:8">
      <c r="A20" s="17"/>
      <c r="C20" s="207" t="s">
        <v>248</v>
      </c>
      <c r="D20" s="561">
        <v>21785864985</v>
      </c>
      <c r="E20" s="185">
        <v>22511840000</v>
      </c>
      <c r="F20" s="186">
        <f>'STATEMENT 2'!I26+'STATEMENT 2'!I27</f>
        <v>3690631566.0600004</v>
      </c>
      <c r="G20" s="184">
        <f>'STATEMENT 2'!J26+'STATEMENT 2'!J27</f>
        <v>4880720000.4499998</v>
      </c>
      <c r="H20" s="120"/>
    </row>
    <row r="21" spans="1:8">
      <c r="A21" s="17"/>
      <c r="C21" s="207" t="s">
        <v>249</v>
      </c>
      <c r="D21" s="561">
        <v>5794426888</v>
      </c>
      <c r="E21" s="185">
        <v>6730427194</v>
      </c>
      <c r="F21" s="186">
        <f>'STATEMENT 2'!I28+'STATEMENT 2'!I21</f>
        <v>4693517319.670001</v>
      </c>
      <c r="G21" s="184">
        <f>'STATEMENT 2'!J28</f>
        <v>7333722323.3999996</v>
      </c>
      <c r="H21" s="120"/>
    </row>
    <row r="22" spans="1:8">
      <c r="A22" s="17"/>
      <c r="C22" s="207" t="s">
        <v>250</v>
      </c>
      <c r="D22" s="561">
        <v>31871426613</v>
      </c>
      <c r="E22" s="185">
        <v>34449108535</v>
      </c>
      <c r="F22" s="186">
        <f>'STATEMENT 2'!I29</f>
        <v>21226335630.709999</v>
      </c>
      <c r="G22" s="184">
        <f>'STATEMENT 2'!J29</f>
        <v>34219754197.540001</v>
      </c>
      <c r="H22" s="120"/>
    </row>
    <row r="23" spans="1:8">
      <c r="A23" s="17"/>
      <c r="C23" s="207" t="s">
        <v>254</v>
      </c>
      <c r="D23" s="561">
        <v>2759590848</v>
      </c>
      <c r="E23" s="185">
        <v>2463060887</v>
      </c>
      <c r="F23" s="186">
        <f>'STATEMENT 2'!I30</f>
        <v>1251432373.9200001</v>
      </c>
      <c r="G23" s="184">
        <f>'STATEMENT 2'!J30</f>
        <v>2119444443.3199999</v>
      </c>
      <c r="H23" s="120"/>
    </row>
    <row r="24" spans="1:8">
      <c r="A24" s="17"/>
      <c r="C24" s="207" t="s">
        <v>344</v>
      </c>
      <c r="D24" s="561">
        <v>199266688786</v>
      </c>
      <c r="E24" s="185">
        <f>'STATEMENT 2'!H31+'STATEMENT 2'!H32</f>
        <v>199718340352.45001</v>
      </c>
      <c r="F24" s="186">
        <f>'STATEMENT 2'!I31+'STATEMENT 2'!I32</f>
        <v>124109910642.75999</v>
      </c>
      <c r="G24" s="184">
        <f>'STATEMENT 2'!J31+'STATEMENT 2'!J32</f>
        <v>203317336613.88</v>
      </c>
      <c r="H24" s="120"/>
    </row>
    <row r="25" spans="1:8">
      <c r="A25" s="17"/>
      <c r="C25" s="207" t="s">
        <v>345</v>
      </c>
      <c r="D25" s="561">
        <v>79660799468</v>
      </c>
      <c r="E25" s="185">
        <v>83348268721</v>
      </c>
      <c r="F25" s="186">
        <f>'STATEMENT 2'!I33+'STATEMENT 2'!I34</f>
        <v>48439712796.059998</v>
      </c>
      <c r="G25" s="184">
        <f>'STATEMENT 2'!J33+'STATEMENT 2'!J34</f>
        <v>83987786400</v>
      </c>
      <c r="H25" s="120"/>
    </row>
    <row r="26" spans="1:8">
      <c r="A26" s="17"/>
      <c r="C26" s="207" t="s">
        <v>346</v>
      </c>
      <c r="D26" s="561">
        <v>4292080311</v>
      </c>
      <c r="E26" s="185">
        <v>4443289942</v>
      </c>
      <c r="F26" s="186">
        <f>'STATEMENT 2'!I35+'STATEMENT 2'!I36</f>
        <v>3026167042.7799997</v>
      </c>
      <c r="G26" s="184">
        <f>'STATEMENT 2'!J35+'STATEMENT 2'!J36</f>
        <v>4214401525.4300003</v>
      </c>
      <c r="H26" s="120"/>
    </row>
    <row r="27" spans="1:8">
      <c r="A27" s="17"/>
      <c r="C27" s="207" t="s">
        <v>251</v>
      </c>
      <c r="D27" s="561">
        <v>2120336459</v>
      </c>
      <c r="E27" s="185">
        <v>2510240000</v>
      </c>
      <c r="F27" s="186">
        <f>'STATEMENT 2'!I37</f>
        <v>2702208575.6700001</v>
      </c>
      <c r="G27" s="184">
        <f>'STATEMENT 2'!J37</f>
        <v>3354650876</v>
      </c>
      <c r="H27" s="120"/>
    </row>
    <row r="28" spans="1:8">
      <c r="A28" s="17"/>
      <c r="C28" s="207" t="s">
        <v>352</v>
      </c>
      <c r="D28" s="561">
        <v>2930778485</v>
      </c>
      <c r="E28" s="185">
        <v>3115380908</v>
      </c>
      <c r="F28" s="186">
        <f>'STATEMENT 2'!I38</f>
        <v>487191983.25999999</v>
      </c>
      <c r="G28" s="184">
        <f>'STATEMENT 2'!J38</f>
        <v>645600000</v>
      </c>
      <c r="H28" s="120"/>
    </row>
    <row r="29" spans="1:8">
      <c r="A29" s="17"/>
      <c r="C29" s="207" t="s">
        <v>18</v>
      </c>
      <c r="D29" s="561"/>
      <c r="E29" s="185">
        <v>0</v>
      </c>
      <c r="F29" s="186">
        <f>'STATEMENT 2'!I39</f>
        <v>87556057.269999996</v>
      </c>
      <c r="G29" s="184">
        <v>0</v>
      </c>
      <c r="H29" s="120"/>
    </row>
    <row r="30" spans="1:8">
      <c r="A30" s="17"/>
      <c r="C30" s="207" t="s">
        <v>121</v>
      </c>
      <c r="D30" s="561">
        <v>63611389</v>
      </c>
      <c r="E30" s="185">
        <v>84215326</v>
      </c>
      <c r="F30" s="186">
        <f>'STATEMENT 2'!I40</f>
        <v>73656585.879999995</v>
      </c>
      <c r="G30" s="184">
        <f>'STATEMENT 2'!J40</f>
        <v>84185845.890000001</v>
      </c>
      <c r="H30" s="120"/>
    </row>
    <row r="31" spans="1:8">
      <c r="A31" s="17"/>
      <c r="C31" s="207" t="s">
        <v>252</v>
      </c>
      <c r="D31" s="561">
        <v>329688042</v>
      </c>
      <c r="E31" s="185">
        <v>345294000</v>
      </c>
      <c r="F31" s="186">
        <f>'STATEMENT 2'!I41</f>
        <v>187178601.58999997</v>
      </c>
      <c r="G31" s="184">
        <f>'STATEMENT 2'!J41</f>
        <v>304929988</v>
      </c>
      <c r="H31" s="120"/>
    </row>
    <row r="32" spans="1:8">
      <c r="A32" s="17"/>
      <c r="C32" s="207" t="s">
        <v>253</v>
      </c>
      <c r="D32" s="562">
        <v>305406716</v>
      </c>
      <c r="E32" s="185">
        <v>1155435179</v>
      </c>
      <c r="F32" s="186">
        <f>'STATEMENT 2'!I42</f>
        <v>1295842984.6199999</v>
      </c>
      <c r="G32" s="184">
        <f>'STATEMENT 2'!J42</f>
        <v>1476960000</v>
      </c>
      <c r="H32" s="120"/>
    </row>
    <row r="33" spans="1:9">
      <c r="A33" s="17"/>
      <c r="C33" s="206" t="s">
        <v>187</v>
      </c>
      <c r="D33" s="563">
        <f>SUM(D15:D32)</f>
        <v>565878309004</v>
      </c>
      <c r="E33" s="176">
        <f>SUM(E15:E32)</f>
        <v>588807225492.60999</v>
      </c>
      <c r="F33" s="177">
        <f>SUM(F15:F32)</f>
        <v>345413187168.53009</v>
      </c>
      <c r="G33" s="177">
        <f t="shared" ref="G33" si="0">SUM(G15:G32)</f>
        <v>572461288759.69995</v>
      </c>
      <c r="H33" s="212"/>
    </row>
    <row r="34" spans="1:9">
      <c r="A34" s="17"/>
      <c r="C34" s="120"/>
      <c r="D34" s="184"/>
      <c r="E34" s="187"/>
      <c r="F34" s="186"/>
      <c r="G34" s="184"/>
      <c r="H34" s="120"/>
    </row>
    <row r="35" spans="1:9">
      <c r="A35" s="17"/>
      <c r="C35" s="120"/>
      <c r="D35" s="188"/>
      <c r="E35" s="187"/>
      <c r="F35" s="186"/>
      <c r="G35" s="184"/>
      <c r="H35" s="120"/>
    </row>
    <row r="36" spans="1:9">
      <c r="A36" s="17"/>
      <c r="B36" s="12" t="s">
        <v>147</v>
      </c>
      <c r="C36" s="206" t="s">
        <v>373</v>
      </c>
      <c r="D36" s="492">
        <f>'STATEMENT 2'!G416</f>
        <v>59600575964.790001</v>
      </c>
      <c r="E36" s="201">
        <f>'STATEMENT 2'!H416</f>
        <v>67290901000</v>
      </c>
      <c r="F36" s="202">
        <f>'STATEMENT 2'!I416</f>
        <v>59283166688.07</v>
      </c>
      <c r="G36" s="203">
        <f>'STATEMENT 2'!J416</f>
        <v>94185200000.422226</v>
      </c>
      <c r="H36" s="120"/>
    </row>
    <row r="37" spans="1:9">
      <c r="A37" s="17"/>
      <c r="C37" s="207" t="s">
        <v>510</v>
      </c>
      <c r="D37" s="188">
        <v>0</v>
      </c>
      <c r="E37" s="187"/>
      <c r="F37" s="186"/>
      <c r="G37" s="184"/>
      <c r="H37" s="120"/>
    </row>
    <row r="38" spans="1:9" ht="13.5" thickBot="1">
      <c r="A38" s="17"/>
      <c r="C38" s="120"/>
      <c r="D38" s="188"/>
      <c r="E38" s="187"/>
      <c r="F38" s="186"/>
      <c r="G38" s="184"/>
      <c r="H38" s="120"/>
    </row>
    <row r="39" spans="1:9" ht="13.5" thickBot="1">
      <c r="A39" s="17"/>
      <c r="C39" s="206" t="s">
        <v>374</v>
      </c>
      <c r="D39" s="189">
        <f>D33+D36</f>
        <v>625478884968.79004</v>
      </c>
      <c r="E39" s="190">
        <f>E33+E36</f>
        <v>656098126492.60999</v>
      </c>
      <c r="F39" s="191">
        <f t="shared" ref="F39" si="1">F33+F36</f>
        <v>404696353856.6001</v>
      </c>
      <c r="G39" s="191">
        <f t="shared" ref="G39" si="2">G33+G36</f>
        <v>666646488760.12219</v>
      </c>
      <c r="H39" s="212"/>
    </row>
    <row r="40" spans="1:9">
      <c r="A40" s="17"/>
      <c r="C40" s="120"/>
      <c r="D40" s="184"/>
      <c r="E40" s="187"/>
      <c r="F40" s="186"/>
      <c r="G40" s="184"/>
      <c r="H40" s="120"/>
    </row>
    <row r="41" spans="1:9">
      <c r="A41" s="17"/>
      <c r="B41" s="12" t="s">
        <v>153</v>
      </c>
      <c r="C41" s="206" t="s">
        <v>313</v>
      </c>
      <c r="D41" s="192"/>
      <c r="E41" s="187"/>
      <c r="F41" s="186"/>
      <c r="G41" s="184"/>
      <c r="H41" s="120"/>
    </row>
    <row r="42" spans="1:9">
      <c r="A42" s="17"/>
      <c r="C42" s="207" t="s">
        <v>430</v>
      </c>
      <c r="D42" s="193">
        <f>'STATEMENT 2'!G423</f>
        <v>36322500</v>
      </c>
      <c r="E42" s="193">
        <f>'STATEMENT 2'!H423</f>
        <v>214421773</v>
      </c>
      <c r="F42" s="193">
        <f>'STATEMENT 2'!I423</f>
        <v>0</v>
      </c>
      <c r="G42" s="193">
        <f>'STATEMENT 2'!J423</f>
        <v>0</v>
      </c>
      <c r="H42" s="120"/>
    </row>
    <row r="43" spans="1:9">
      <c r="A43" s="17"/>
      <c r="C43" s="207" t="s">
        <v>431</v>
      </c>
      <c r="D43" s="193">
        <f>'STATEMENT 2'!G427</f>
        <v>3083500000</v>
      </c>
      <c r="E43" s="193">
        <f>'STATEMENT 2'!H427</f>
        <v>121578227</v>
      </c>
      <c r="F43" s="193">
        <f>'STATEMENT 2'!I427</f>
        <v>436268433.31999999</v>
      </c>
      <c r="G43" s="193">
        <f>'STATEMENT 2'!J427</f>
        <v>96419057.049999997</v>
      </c>
      <c r="H43" s="120"/>
    </row>
    <row r="44" spans="1:9">
      <c r="A44" s="17"/>
      <c r="C44" s="207" t="s">
        <v>462</v>
      </c>
      <c r="D44" s="193">
        <f>'STATEMENT 2'!G433</f>
        <v>18552943708</v>
      </c>
      <c r="E44" s="193">
        <f>'STATEMENT 2'!H433</f>
        <v>32193000000</v>
      </c>
      <c r="F44" s="193">
        <f>'STATEMENT 2'!I433</f>
        <v>3310253046.3499999</v>
      </c>
      <c r="G44" s="193">
        <f>'STATEMENT 2'!J433</f>
        <v>4348700000</v>
      </c>
      <c r="H44" s="120"/>
    </row>
    <row r="45" spans="1:9">
      <c r="A45" s="17"/>
      <c r="C45" s="120"/>
      <c r="D45" s="193"/>
      <c r="E45" s="187"/>
      <c r="F45" s="186"/>
      <c r="G45" s="184"/>
      <c r="H45" s="120"/>
    </row>
    <row r="46" spans="1:9">
      <c r="A46" s="17"/>
      <c r="C46" s="206" t="s">
        <v>152</v>
      </c>
      <c r="D46" s="493">
        <f>D42+D43+D44</f>
        <v>21672766208</v>
      </c>
      <c r="E46" s="176">
        <f>SUM(E42:E45)</f>
        <v>32529000000</v>
      </c>
      <c r="F46" s="177">
        <f>SUM(F42:F45)</f>
        <v>3746521479.6700001</v>
      </c>
      <c r="G46" s="177">
        <f>SUM(G42:G45)</f>
        <v>4445119057.0500002</v>
      </c>
      <c r="H46" s="212"/>
    </row>
    <row r="47" spans="1:9">
      <c r="A47" s="17"/>
      <c r="C47" s="120"/>
      <c r="D47" s="184"/>
      <c r="E47" s="187"/>
      <c r="F47" s="186"/>
      <c r="G47" s="184"/>
      <c r="H47" s="120"/>
      <c r="I47" s="12" t="s">
        <v>1</v>
      </c>
    </row>
    <row r="48" spans="1:9">
      <c r="A48" s="17"/>
      <c r="C48" s="206" t="s">
        <v>375</v>
      </c>
      <c r="D48" s="189">
        <f>D39+D46</f>
        <v>647151651176.79004</v>
      </c>
      <c r="E48" s="176">
        <f>E46+E39</f>
        <v>688627126492.60999</v>
      </c>
      <c r="F48" s="177">
        <f>F46+F39</f>
        <v>408442875336.27008</v>
      </c>
      <c r="G48" s="177">
        <f>G46+G39</f>
        <v>671091607817.17224</v>
      </c>
      <c r="H48" s="212"/>
    </row>
    <row r="49" spans="1:9" ht="14.25" customHeight="1">
      <c r="A49" s="17"/>
      <c r="C49" s="206"/>
      <c r="D49" s="192"/>
      <c r="E49" s="194"/>
      <c r="F49" s="195"/>
      <c r="G49" s="196"/>
      <c r="H49" s="120"/>
    </row>
    <row r="50" spans="1:9">
      <c r="A50" s="17"/>
      <c r="C50" s="120"/>
      <c r="D50" s="184"/>
      <c r="E50" s="187"/>
      <c r="F50" s="186"/>
      <c r="G50" s="184"/>
      <c r="H50" s="120"/>
    </row>
    <row r="51" spans="1:9">
      <c r="A51" s="17"/>
      <c r="B51" s="12" t="s">
        <v>156</v>
      </c>
      <c r="C51" s="208" t="s">
        <v>438</v>
      </c>
      <c r="D51" s="197"/>
      <c r="E51" s="187"/>
      <c r="F51" s="186"/>
      <c r="G51" s="184"/>
      <c r="H51" s="120"/>
    </row>
    <row r="52" spans="1:9">
      <c r="A52" s="17"/>
      <c r="B52" s="12" t="s">
        <v>463</v>
      </c>
      <c r="C52" s="209" t="s">
        <v>323</v>
      </c>
      <c r="D52" s="198"/>
      <c r="E52" s="187"/>
      <c r="F52" s="186"/>
      <c r="G52" s="184"/>
      <c r="H52" s="120"/>
    </row>
    <row r="53" spans="1:9">
      <c r="A53" s="17"/>
      <c r="C53" s="210" t="s">
        <v>584</v>
      </c>
      <c r="D53" s="199">
        <f>'STATEMENT 2'!G439</f>
        <v>130900000</v>
      </c>
      <c r="E53" s="199">
        <f>'STATEMENT 2'!H439</f>
        <v>135700000</v>
      </c>
      <c r="F53" s="199" t="str">
        <f>'STATEMENT 2'!I439</f>
        <v xml:space="preserve"> </v>
      </c>
      <c r="G53" s="199">
        <f>'STATEMENT 2'!J439</f>
        <v>148700000</v>
      </c>
      <c r="H53" s="120"/>
    </row>
    <row r="54" spans="1:9">
      <c r="A54" s="17"/>
      <c r="C54" s="210" t="s">
        <v>585</v>
      </c>
      <c r="D54" s="199">
        <f>'STATEMENT 2'!G440</f>
        <v>0</v>
      </c>
      <c r="E54" s="199">
        <f>'STATEMENT 2'!H440</f>
        <v>0</v>
      </c>
      <c r="F54" s="199" t="str">
        <f>'STATEMENT 2'!I440</f>
        <v xml:space="preserve"> </v>
      </c>
      <c r="G54" s="199">
        <f>'STATEMENT 2'!J440</f>
        <v>0</v>
      </c>
      <c r="H54" s="120"/>
    </row>
    <row r="55" spans="1:9">
      <c r="A55" s="17"/>
      <c r="C55" s="312" t="s">
        <v>17</v>
      </c>
      <c r="E55" s="199">
        <f>'STATEMENT 2'!H441</f>
        <v>0</v>
      </c>
      <c r="F55" s="199" t="str">
        <f>'STATEMENT 2'!I441</f>
        <v xml:space="preserve"> </v>
      </c>
      <c r="G55" s="199">
        <f>'STATEMENT 2'!J441</f>
        <v>0</v>
      </c>
      <c r="H55" s="120"/>
    </row>
    <row r="56" spans="1:9">
      <c r="A56" s="17"/>
      <c r="C56" s="210"/>
      <c r="D56" s="199"/>
      <c r="E56" s="199"/>
      <c r="F56" s="199"/>
      <c r="G56" s="199"/>
      <c r="H56" s="120"/>
    </row>
    <row r="57" spans="1:9">
      <c r="A57" s="17"/>
      <c r="B57" s="12" t="s">
        <v>464</v>
      </c>
      <c r="C57" s="209" t="s">
        <v>458</v>
      </c>
      <c r="D57" s="198"/>
      <c r="E57" s="198"/>
      <c r="F57" s="198"/>
      <c r="G57" s="198"/>
      <c r="H57" s="212"/>
    </row>
    <row r="58" spans="1:9">
      <c r="A58" s="17"/>
      <c r="C58" s="117" t="s">
        <v>149</v>
      </c>
      <c r="D58" s="200">
        <f>'STATEMENT 2'!G445</f>
        <v>0</v>
      </c>
      <c r="E58" s="200">
        <f>'STATEMENT 2'!H445</f>
        <v>0</v>
      </c>
      <c r="F58" s="200">
        <f>'STATEMENT 2'!I445</f>
        <v>3406627613.04</v>
      </c>
      <c r="G58" s="200">
        <f>'STATEMENT 2'!J445</f>
        <v>2816000000</v>
      </c>
      <c r="H58" s="120"/>
    </row>
    <row r="59" spans="1:9">
      <c r="A59" s="17"/>
      <c r="C59" s="117" t="s">
        <v>465</v>
      </c>
      <c r="D59" s="200">
        <f>'STATEMENT 2'!G446</f>
        <v>0</v>
      </c>
      <c r="E59" s="200">
        <f>'STATEMENT 2'!H446</f>
        <v>2987000000</v>
      </c>
      <c r="F59" s="200">
        <f>'STATEMENT 2'!I446</f>
        <v>2443825413</v>
      </c>
      <c r="G59" s="200">
        <f>'STATEMENT 2'!J446</f>
        <v>2960800000</v>
      </c>
      <c r="H59" s="120"/>
    </row>
    <row r="60" spans="1:9">
      <c r="A60" s="17"/>
      <c r="C60" s="117" t="s">
        <v>150</v>
      </c>
      <c r="D60" s="200">
        <f>'STATEMENT 2'!G447</f>
        <v>5635485000</v>
      </c>
      <c r="E60" s="200">
        <f>'STATEMENT 2'!H447</f>
        <v>1350323510</v>
      </c>
      <c r="F60" s="200" t="str">
        <f>'STATEMENT 2'!I447</f>
        <v xml:space="preserve"> </v>
      </c>
      <c r="G60" s="200">
        <f>'STATEMENT 2'!J447</f>
        <v>0</v>
      </c>
      <c r="H60" s="120"/>
    </row>
    <row r="61" spans="1:9">
      <c r="A61" s="17"/>
      <c r="C61" s="208" t="s">
        <v>461</v>
      </c>
      <c r="D61" s="494">
        <f>SUM(D53:D60)</f>
        <v>5766385000</v>
      </c>
      <c r="E61" s="176">
        <f>SUM(E53:E60)</f>
        <v>4473023510</v>
      </c>
      <c r="F61" s="177">
        <f>SUM(F53:F60)</f>
        <v>5850453026.04</v>
      </c>
      <c r="G61" s="177">
        <f>SUM(G53:G60)</f>
        <v>5925500000</v>
      </c>
      <c r="H61" s="120"/>
    </row>
    <row r="62" spans="1:9">
      <c r="A62" s="17"/>
      <c r="C62" s="208"/>
      <c r="D62" s="197"/>
      <c r="E62" s="201"/>
      <c r="F62" s="202"/>
      <c r="G62" s="203"/>
      <c r="H62" s="212"/>
    </row>
    <row r="63" spans="1:9">
      <c r="A63" s="17"/>
      <c r="B63" s="12" t="s">
        <v>466</v>
      </c>
      <c r="C63" s="208" t="s">
        <v>157</v>
      </c>
      <c r="D63" s="197"/>
      <c r="E63" s="187"/>
      <c r="F63" s="186"/>
      <c r="G63" s="184"/>
      <c r="H63" s="120"/>
      <c r="I63" s="116"/>
    </row>
    <row r="64" spans="1:9">
      <c r="A64" s="17"/>
      <c r="C64" s="210" t="s">
        <v>467</v>
      </c>
      <c r="D64" s="199">
        <f>'STATEMENT 2'!G494</f>
        <v>102924710000</v>
      </c>
      <c r="E64" s="199">
        <f>'STATEMENT 2'!H494</f>
        <v>143602930000</v>
      </c>
      <c r="F64" s="199">
        <f>'STATEMENT 2'!I494</f>
        <v>171496672165.04001</v>
      </c>
      <c r="G64" s="199">
        <f>'STATEMENT 2'!J494</f>
        <v>130305600000</v>
      </c>
      <c r="H64" s="120"/>
    </row>
    <row r="65" spans="1:9">
      <c r="A65" s="17"/>
      <c r="C65" s="5"/>
      <c r="D65" s="199"/>
      <c r="E65" s="187"/>
      <c r="F65" s="186"/>
      <c r="G65" s="184"/>
      <c r="H65" s="120"/>
    </row>
    <row r="66" spans="1:9">
      <c r="A66" s="17"/>
      <c r="C66" s="208" t="s">
        <v>184</v>
      </c>
      <c r="D66" s="495">
        <f>D64</f>
        <v>102924710000</v>
      </c>
      <c r="E66" s="204">
        <f t="shared" ref="E66:G66" si="3">E64</f>
        <v>143602930000</v>
      </c>
      <c r="F66" s="204">
        <f t="shared" si="3"/>
        <v>171496672165.04001</v>
      </c>
      <c r="G66" s="204">
        <f t="shared" si="3"/>
        <v>130305600000</v>
      </c>
      <c r="H66" s="120"/>
    </row>
    <row r="67" spans="1:9">
      <c r="A67" s="17"/>
      <c r="C67" s="5"/>
      <c r="D67" s="205"/>
      <c r="E67" s="187"/>
      <c r="F67" s="186"/>
      <c r="G67" s="184"/>
      <c r="H67" s="120"/>
    </row>
    <row r="68" spans="1:9">
      <c r="A68" s="17"/>
      <c r="C68" s="208" t="s">
        <v>376</v>
      </c>
      <c r="D68" s="487">
        <f>D48+D61+D66</f>
        <v>755842746176.79004</v>
      </c>
      <c r="E68" s="488">
        <f>E66+E61+E48</f>
        <v>836703080002.60999</v>
      </c>
      <c r="F68" s="488">
        <f>F66+F61+F48</f>
        <v>585790000527.3501</v>
      </c>
      <c r="G68" s="488">
        <f>G66+G61+G48</f>
        <v>807322707817.17224</v>
      </c>
      <c r="H68" s="120"/>
    </row>
    <row r="69" spans="1:9">
      <c r="A69" s="17"/>
      <c r="C69" s="23"/>
      <c r="D69" s="23"/>
      <c r="E69" s="211"/>
      <c r="F69" s="120"/>
      <c r="G69" s="18"/>
    </row>
    <row r="70" spans="1:9">
      <c r="A70" s="17"/>
      <c r="C70" s="23"/>
      <c r="D70" s="23"/>
      <c r="E70" s="211"/>
      <c r="F70" s="211"/>
      <c r="G70" s="18"/>
    </row>
    <row r="71" spans="1:9">
      <c r="A71" s="17"/>
      <c r="C71" s="23" t="s">
        <v>188</v>
      </c>
      <c r="D71" s="23"/>
      <c r="E71" s="211"/>
      <c r="F71" s="211"/>
      <c r="G71" s="18"/>
    </row>
    <row r="72" spans="1:9">
      <c r="A72" s="19"/>
      <c r="B72" s="20"/>
      <c r="C72" s="213"/>
      <c r="D72" s="213"/>
      <c r="E72" s="214"/>
      <c r="F72" s="214"/>
      <c r="G72" s="21"/>
    </row>
    <row r="73" spans="1:9">
      <c r="C73" s="23"/>
      <c r="D73" s="23"/>
      <c r="E73" s="119"/>
      <c r="F73" s="116"/>
    </row>
    <row r="74" spans="1:9">
      <c r="C74" s="23"/>
      <c r="D74" s="23"/>
      <c r="E74" s="119"/>
      <c r="F74" s="116"/>
    </row>
    <row r="75" spans="1:9">
      <c r="C75" s="23"/>
      <c r="D75" s="23"/>
      <c r="E75" s="119"/>
      <c r="F75" s="116"/>
    </row>
    <row r="76" spans="1:9">
      <c r="C76" s="12"/>
      <c r="D76" s="12"/>
      <c r="E76" s="119"/>
      <c r="F76" s="116"/>
    </row>
    <row r="77" spans="1:9">
      <c r="C77" s="23"/>
      <c r="D77" s="23"/>
      <c r="E77" s="119"/>
      <c r="F77" s="116"/>
    </row>
    <row r="78" spans="1:9">
      <c r="C78" s="24"/>
      <c r="D78" s="24"/>
      <c r="F78" s="140"/>
      <c r="G78" s="24"/>
      <c r="I78" s="16"/>
    </row>
    <row r="79" spans="1:9">
      <c r="C79" s="24"/>
      <c r="D79" s="24"/>
      <c r="G79" s="24"/>
      <c r="I79" s="16"/>
    </row>
    <row r="81" spans="5:9">
      <c r="I81" s="16"/>
    </row>
    <row r="82" spans="5:9">
      <c r="I82" s="16"/>
    </row>
    <row r="88" spans="5:9">
      <c r="E88" s="141"/>
      <c r="F88" s="140"/>
      <c r="G88" s="12"/>
      <c r="H88" s="11"/>
    </row>
    <row r="89" spans="5:9">
      <c r="E89" s="141"/>
      <c r="F89" s="140"/>
      <c r="G89" s="12"/>
      <c r="H89" s="11"/>
    </row>
    <row r="90" spans="5:9">
      <c r="E90" s="141"/>
      <c r="F90" s="140"/>
      <c r="G90" s="12"/>
      <c r="H90" s="11"/>
    </row>
    <row r="91" spans="5:9">
      <c r="E91" s="141"/>
      <c r="F91" s="140"/>
      <c r="G91" s="12"/>
      <c r="H91" s="11"/>
    </row>
    <row r="92" spans="5:9">
      <c r="E92" s="141"/>
      <c r="F92" s="140"/>
      <c r="G92" s="12"/>
      <c r="H92" s="11"/>
    </row>
    <row r="93" spans="5:9">
      <c r="E93" s="141"/>
      <c r="F93" s="140"/>
      <c r="G93" s="12"/>
      <c r="H93" s="11"/>
    </row>
    <row r="94" spans="5:9">
      <c r="E94" s="141"/>
      <c r="F94" s="140"/>
      <c r="G94" s="12"/>
      <c r="H94" s="11"/>
    </row>
    <row r="95" spans="5:9">
      <c r="E95" s="141"/>
      <c r="F95" s="140"/>
      <c r="G95" s="12"/>
      <c r="H95" s="11"/>
    </row>
    <row r="96" spans="5:9">
      <c r="E96" s="141"/>
      <c r="F96" s="140"/>
      <c r="G96" s="12"/>
      <c r="H96" s="11"/>
    </row>
    <row r="97" spans="4:8">
      <c r="E97" s="141"/>
      <c r="F97" s="140"/>
      <c r="G97" s="12"/>
      <c r="H97" s="11"/>
    </row>
    <row r="98" spans="4:8">
      <c r="E98" s="141"/>
      <c r="F98" s="140"/>
      <c r="G98" s="12"/>
      <c r="H98" s="11"/>
    </row>
    <row r="99" spans="4:8">
      <c r="D99" s="23"/>
      <c r="E99" s="141"/>
      <c r="F99" s="140"/>
      <c r="G99" s="12"/>
      <c r="H99" s="11"/>
    </row>
  </sheetData>
  <mergeCells count="5">
    <mergeCell ref="A1:G1"/>
    <mergeCell ref="A2:G2"/>
    <mergeCell ref="A3:G3"/>
    <mergeCell ref="A4:G4"/>
    <mergeCell ref="A7:C7"/>
  </mergeCells>
  <printOptions horizontalCentered="1"/>
  <pageMargins left="0.27" right="0.26" top="0.36" bottom="0.56000000000000005" header="0.18" footer="0.17"/>
  <pageSetup scale="75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9"/>
  <sheetViews>
    <sheetView tabSelected="1" view="pageBreakPreview" topLeftCell="F1" zoomScale="80" zoomScaleNormal="120" zoomScaleSheetLayoutView="80" workbookViewId="0">
      <pane ySplit="9" topLeftCell="A10" activePane="bottomLeft" state="frozen"/>
      <selection pane="bottomLeft" activeCell="I517" sqref="I517"/>
    </sheetView>
  </sheetViews>
  <sheetFormatPr defaultRowHeight="12.75"/>
  <cols>
    <col min="1" max="1" width="8.42578125" style="124" hidden="1" customWidth="1"/>
    <col min="2" max="2" width="5.42578125" style="125" hidden="1" customWidth="1"/>
    <col min="3" max="4" width="4.42578125" style="125" hidden="1" customWidth="1"/>
    <col min="5" max="5" width="9.85546875" style="125" hidden="1" customWidth="1"/>
    <col min="6" max="6" width="51.140625" style="248" customWidth="1"/>
    <col min="7" max="7" width="16.140625" style="122" bestFit="1" customWidth="1"/>
    <col min="8" max="8" width="16.140625" style="159" bestFit="1" customWidth="1"/>
    <col min="9" max="9" width="17.5703125" style="159" bestFit="1" customWidth="1"/>
    <col min="10" max="10" width="17.5703125" style="159" customWidth="1"/>
    <col min="11" max="11" width="16.28515625" style="159" customWidth="1"/>
    <col min="12" max="12" width="0.140625" style="6" hidden="1" customWidth="1"/>
    <col min="13" max="13" width="17.140625" style="4" hidden="1" customWidth="1"/>
    <col min="14" max="14" width="0.140625" style="1" customWidth="1"/>
    <col min="15" max="15" width="15.140625" style="1" hidden="1" customWidth="1"/>
    <col min="16" max="16" width="15.140625" style="5" hidden="1" customWidth="1"/>
    <col min="17" max="17" width="17.5703125" style="1" hidden="1" customWidth="1"/>
    <col min="18" max="18" width="16.42578125" style="1" customWidth="1"/>
    <col min="19" max="19" width="9.140625" style="1"/>
    <col min="20" max="20" width="16.85546875" style="1" customWidth="1"/>
    <col min="21" max="261" width="9.140625" style="1"/>
    <col min="262" max="262" width="1.140625" style="1" customWidth="1"/>
    <col min="263" max="263" width="2.5703125" style="1" customWidth="1"/>
    <col min="264" max="264" width="40.42578125" style="1" customWidth="1"/>
    <col min="265" max="266" width="18.42578125" style="1" customWidth="1"/>
    <col min="267" max="267" width="18.85546875" style="1" customWidth="1"/>
    <col min="268" max="268" width="18.42578125" style="1" customWidth="1"/>
    <col min="269" max="269" width="17.140625" style="1" customWidth="1"/>
    <col min="270" max="270" width="9.140625" style="1"/>
    <col min="271" max="271" width="22" style="1" customWidth="1"/>
    <col min="272" max="272" width="20.42578125" style="1" customWidth="1"/>
    <col min="273" max="273" width="14.85546875" style="1" customWidth="1"/>
    <col min="274" max="274" width="21.42578125" style="1" customWidth="1"/>
    <col min="275" max="517" width="9.140625" style="1"/>
    <col min="518" max="518" width="1.140625" style="1" customWidth="1"/>
    <col min="519" max="519" width="2.5703125" style="1" customWidth="1"/>
    <col min="520" max="520" width="40.42578125" style="1" customWidth="1"/>
    <col min="521" max="522" width="18.42578125" style="1" customWidth="1"/>
    <col min="523" max="523" width="18.85546875" style="1" customWidth="1"/>
    <col min="524" max="524" width="18.42578125" style="1" customWidth="1"/>
    <col min="525" max="525" width="17.140625" style="1" customWidth="1"/>
    <col min="526" max="526" width="9.140625" style="1"/>
    <col min="527" max="527" width="22" style="1" customWidth="1"/>
    <col min="528" max="528" width="20.42578125" style="1" customWidth="1"/>
    <col min="529" max="529" width="14.85546875" style="1" customWidth="1"/>
    <col min="530" max="530" width="21.42578125" style="1" customWidth="1"/>
    <col min="531" max="773" width="9.140625" style="1"/>
    <col min="774" max="774" width="1.140625" style="1" customWidth="1"/>
    <col min="775" max="775" width="2.5703125" style="1" customWidth="1"/>
    <col min="776" max="776" width="40.42578125" style="1" customWidth="1"/>
    <col min="777" max="778" width="18.42578125" style="1" customWidth="1"/>
    <col min="779" max="779" width="18.85546875" style="1" customWidth="1"/>
    <col min="780" max="780" width="18.42578125" style="1" customWidth="1"/>
    <col min="781" max="781" width="17.140625" style="1" customWidth="1"/>
    <col min="782" max="782" width="9.140625" style="1"/>
    <col min="783" max="783" width="22" style="1" customWidth="1"/>
    <col min="784" max="784" width="20.42578125" style="1" customWidth="1"/>
    <col min="785" max="785" width="14.85546875" style="1" customWidth="1"/>
    <col min="786" max="786" width="21.42578125" style="1" customWidth="1"/>
    <col min="787" max="1029" width="9.140625" style="1"/>
    <col min="1030" max="1030" width="1.140625" style="1" customWidth="1"/>
    <col min="1031" max="1031" width="2.5703125" style="1" customWidth="1"/>
    <col min="1032" max="1032" width="40.42578125" style="1" customWidth="1"/>
    <col min="1033" max="1034" width="18.42578125" style="1" customWidth="1"/>
    <col min="1035" max="1035" width="18.85546875" style="1" customWidth="1"/>
    <col min="1036" max="1036" width="18.42578125" style="1" customWidth="1"/>
    <col min="1037" max="1037" width="17.140625" style="1" customWidth="1"/>
    <col min="1038" max="1038" width="9.140625" style="1"/>
    <col min="1039" max="1039" width="22" style="1" customWidth="1"/>
    <col min="1040" max="1040" width="20.42578125" style="1" customWidth="1"/>
    <col min="1041" max="1041" width="14.85546875" style="1" customWidth="1"/>
    <col min="1042" max="1042" width="21.42578125" style="1" customWidth="1"/>
    <col min="1043" max="1285" width="9.140625" style="1"/>
    <col min="1286" max="1286" width="1.140625" style="1" customWidth="1"/>
    <col min="1287" max="1287" width="2.5703125" style="1" customWidth="1"/>
    <col min="1288" max="1288" width="40.42578125" style="1" customWidth="1"/>
    <col min="1289" max="1290" width="18.42578125" style="1" customWidth="1"/>
    <col min="1291" max="1291" width="18.85546875" style="1" customWidth="1"/>
    <col min="1292" max="1292" width="18.42578125" style="1" customWidth="1"/>
    <col min="1293" max="1293" width="17.140625" style="1" customWidth="1"/>
    <col min="1294" max="1294" width="9.140625" style="1"/>
    <col min="1295" max="1295" width="22" style="1" customWidth="1"/>
    <col min="1296" max="1296" width="20.42578125" style="1" customWidth="1"/>
    <col min="1297" max="1297" width="14.85546875" style="1" customWidth="1"/>
    <col min="1298" max="1298" width="21.42578125" style="1" customWidth="1"/>
    <col min="1299" max="1541" width="9.140625" style="1"/>
    <col min="1542" max="1542" width="1.140625" style="1" customWidth="1"/>
    <col min="1543" max="1543" width="2.5703125" style="1" customWidth="1"/>
    <col min="1544" max="1544" width="40.42578125" style="1" customWidth="1"/>
    <col min="1545" max="1546" width="18.42578125" style="1" customWidth="1"/>
    <col min="1547" max="1547" width="18.85546875" style="1" customWidth="1"/>
    <col min="1548" max="1548" width="18.42578125" style="1" customWidth="1"/>
    <col min="1549" max="1549" width="17.140625" style="1" customWidth="1"/>
    <col min="1550" max="1550" width="9.140625" style="1"/>
    <col min="1551" max="1551" width="22" style="1" customWidth="1"/>
    <col min="1552" max="1552" width="20.42578125" style="1" customWidth="1"/>
    <col min="1553" max="1553" width="14.85546875" style="1" customWidth="1"/>
    <col min="1554" max="1554" width="21.42578125" style="1" customWidth="1"/>
    <col min="1555" max="1797" width="9.140625" style="1"/>
    <col min="1798" max="1798" width="1.140625" style="1" customWidth="1"/>
    <col min="1799" max="1799" width="2.5703125" style="1" customWidth="1"/>
    <col min="1800" max="1800" width="40.42578125" style="1" customWidth="1"/>
    <col min="1801" max="1802" width="18.42578125" style="1" customWidth="1"/>
    <col min="1803" max="1803" width="18.85546875" style="1" customWidth="1"/>
    <col min="1804" max="1804" width="18.42578125" style="1" customWidth="1"/>
    <col min="1805" max="1805" width="17.140625" style="1" customWidth="1"/>
    <col min="1806" max="1806" width="9.140625" style="1"/>
    <col min="1807" max="1807" width="22" style="1" customWidth="1"/>
    <col min="1808" max="1808" width="20.42578125" style="1" customWidth="1"/>
    <col min="1809" max="1809" width="14.85546875" style="1" customWidth="1"/>
    <col min="1810" max="1810" width="21.42578125" style="1" customWidth="1"/>
    <col min="1811" max="2053" width="9.140625" style="1"/>
    <col min="2054" max="2054" width="1.140625" style="1" customWidth="1"/>
    <col min="2055" max="2055" width="2.5703125" style="1" customWidth="1"/>
    <col min="2056" max="2056" width="40.42578125" style="1" customWidth="1"/>
    <col min="2057" max="2058" width="18.42578125" style="1" customWidth="1"/>
    <col min="2059" max="2059" width="18.85546875" style="1" customWidth="1"/>
    <col min="2060" max="2060" width="18.42578125" style="1" customWidth="1"/>
    <col min="2061" max="2061" width="17.140625" style="1" customWidth="1"/>
    <col min="2062" max="2062" width="9.140625" style="1"/>
    <col min="2063" max="2063" width="22" style="1" customWidth="1"/>
    <col min="2064" max="2064" width="20.42578125" style="1" customWidth="1"/>
    <col min="2065" max="2065" width="14.85546875" style="1" customWidth="1"/>
    <col min="2066" max="2066" width="21.42578125" style="1" customWidth="1"/>
    <col min="2067" max="2309" width="9.140625" style="1"/>
    <col min="2310" max="2310" width="1.140625" style="1" customWidth="1"/>
    <col min="2311" max="2311" width="2.5703125" style="1" customWidth="1"/>
    <col min="2312" max="2312" width="40.42578125" style="1" customWidth="1"/>
    <col min="2313" max="2314" width="18.42578125" style="1" customWidth="1"/>
    <col min="2315" max="2315" width="18.85546875" style="1" customWidth="1"/>
    <col min="2316" max="2316" width="18.42578125" style="1" customWidth="1"/>
    <col min="2317" max="2317" width="17.140625" style="1" customWidth="1"/>
    <col min="2318" max="2318" width="9.140625" style="1"/>
    <col min="2319" max="2319" width="22" style="1" customWidth="1"/>
    <col min="2320" max="2320" width="20.42578125" style="1" customWidth="1"/>
    <col min="2321" max="2321" width="14.85546875" style="1" customWidth="1"/>
    <col min="2322" max="2322" width="21.42578125" style="1" customWidth="1"/>
    <col min="2323" max="2565" width="9.140625" style="1"/>
    <col min="2566" max="2566" width="1.140625" style="1" customWidth="1"/>
    <col min="2567" max="2567" width="2.5703125" style="1" customWidth="1"/>
    <col min="2568" max="2568" width="40.42578125" style="1" customWidth="1"/>
    <col min="2569" max="2570" width="18.42578125" style="1" customWidth="1"/>
    <col min="2571" max="2571" width="18.85546875" style="1" customWidth="1"/>
    <col min="2572" max="2572" width="18.42578125" style="1" customWidth="1"/>
    <col min="2573" max="2573" width="17.140625" style="1" customWidth="1"/>
    <col min="2574" max="2574" width="9.140625" style="1"/>
    <col min="2575" max="2575" width="22" style="1" customWidth="1"/>
    <col min="2576" max="2576" width="20.42578125" style="1" customWidth="1"/>
    <col min="2577" max="2577" width="14.85546875" style="1" customWidth="1"/>
    <col min="2578" max="2578" width="21.42578125" style="1" customWidth="1"/>
    <col min="2579" max="2821" width="9.140625" style="1"/>
    <col min="2822" max="2822" width="1.140625" style="1" customWidth="1"/>
    <col min="2823" max="2823" width="2.5703125" style="1" customWidth="1"/>
    <col min="2824" max="2824" width="40.42578125" style="1" customWidth="1"/>
    <col min="2825" max="2826" width="18.42578125" style="1" customWidth="1"/>
    <col min="2827" max="2827" width="18.85546875" style="1" customWidth="1"/>
    <col min="2828" max="2828" width="18.42578125" style="1" customWidth="1"/>
    <col min="2829" max="2829" width="17.140625" style="1" customWidth="1"/>
    <col min="2830" max="2830" width="9.140625" style="1"/>
    <col min="2831" max="2831" width="22" style="1" customWidth="1"/>
    <col min="2832" max="2832" width="20.42578125" style="1" customWidth="1"/>
    <col min="2833" max="2833" width="14.85546875" style="1" customWidth="1"/>
    <col min="2834" max="2834" width="21.42578125" style="1" customWidth="1"/>
    <col min="2835" max="3077" width="9.140625" style="1"/>
    <col min="3078" max="3078" width="1.140625" style="1" customWidth="1"/>
    <col min="3079" max="3079" width="2.5703125" style="1" customWidth="1"/>
    <col min="3080" max="3080" width="40.42578125" style="1" customWidth="1"/>
    <col min="3081" max="3082" width="18.42578125" style="1" customWidth="1"/>
    <col min="3083" max="3083" width="18.85546875" style="1" customWidth="1"/>
    <col min="3084" max="3084" width="18.42578125" style="1" customWidth="1"/>
    <col min="3085" max="3085" width="17.140625" style="1" customWidth="1"/>
    <col min="3086" max="3086" width="9.140625" style="1"/>
    <col min="3087" max="3087" width="22" style="1" customWidth="1"/>
    <col min="3088" max="3088" width="20.42578125" style="1" customWidth="1"/>
    <col min="3089" max="3089" width="14.85546875" style="1" customWidth="1"/>
    <col min="3090" max="3090" width="21.42578125" style="1" customWidth="1"/>
    <col min="3091" max="3333" width="9.140625" style="1"/>
    <col min="3334" max="3334" width="1.140625" style="1" customWidth="1"/>
    <col min="3335" max="3335" width="2.5703125" style="1" customWidth="1"/>
    <col min="3336" max="3336" width="40.42578125" style="1" customWidth="1"/>
    <col min="3337" max="3338" width="18.42578125" style="1" customWidth="1"/>
    <col min="3339" max="3339" width="18.85546875" style="1" customWidth="1"/>
    <col min="3340" max="3340" width="18.42578125" style="1" customWidth="1"/>
    <col min="3341" max="3341" width="17.140625" style="1" customWidth="1"/>
    <col min="3342" max="3342" width="9.140625" style="1"/>
    <col min="3343" max="3343" width="22" style="1" customWidth="1"/>
    <col min="3344" max="3344" width="20.42578125" style="1" customWidth="1"/>
    <col min="3345" max="3345" width="14.85546875" style="1" customWidth="1"/>
    <col min="3346" max="3346" width="21.42578125" style="1" customWidth="1"/>
    <col min="3347" max="3589" width="9.140625" style="1"/>
    <col min="3590" max="3590" width="1.140625" style="1" customWidth="1"/>
    <col min="3591" max="3591" width="2.5703125" style="1" customWidth="1"/>
    <col min="3592" max="3592" width="40.42578125" style="1" customWidth="1"/>
    <col min="3593" max="3594" width="18.42578125" style="1" customWidth="1"/>
    <col min="3595" max="3595" width="18.85546875" style="1" customWidth="1"/>
    <col min="3596" max="3596" width="18.42578125" style="1" customWidth="1"/>
    <col min="3597" max="3597" width="17.140625" style="1" customWidth="1"/>
    <col min="3598" max="3598" width="9.140625" style="1"/>
    <col min="3599" max="3599" width="22" style="1" customWidth="1"/>
    <col min="3600" max="3600" width="20.42578125" style="1" customWidth="1"/>
    <col min="3601" max="3601" width="14.85546875" style="1" customWidth="1"/>
    <col min="3602" max="3602" width="21.42578125" style="1" customWidth="1"/>
    <col min="3603" max="3845" width="9.140625" style="1"/>
    <col min="3846" max="3846" width="1.140625" style="1" customWidth="1"/>
    <col min="3847" max="3847" width="2.5703125" style="1" customWidth="1"/>
    <col min="3848" max="3848" width="40.42578125" style="1" customWidth="1"/>
    <col min="3849" max="3850" width="18.42578125" style="1" customWidth="1"/>
    <col min="3851" max="3851" width="18.85546875" style="1" customWidth="1"/>
    <col min="3852" max="3852" width="18.42578125" style="1" customWidth="1"/>
    <col min="3853" max="3853" width="17.140625" style="1" customWidth="1"/>
    <col min="3854" max="3854" width="9.140625" style="1"/>
    <col min="3855" max="3855" width="22" style="1" customWidth="1"/>
    <col min="3856" max="3856" width="20.42578125" style="1" customWidth="1"/>
    <col min="3857" max="3857" width="14.85546875" style="1" customWidth="1"/>
    <col min="3858" max="3858" width="21.42578125" style="1" customWidth="1"/>
    <col min="3859" max="4101" width="9.140625" style="1"/>
    <col min="4102" max="4102" width="1.140625" style="1" customWidth="1"/>
    <col min="4103" max="4103" width="2.5703125" style="1" customWidth="1"/>
    <col min="4104" max="4104" width="40.42578125" style="1" customWidth="1"/>
    <col min="4105" max="4106" width="18.42578125" style="1" customWidth="1"/>
    <col min="4107" max="4107" width="18.85546875" style="1" customWidth="1"/>
    <col min="4108" max="4108" width="18.42578125" style="1" customWidth="1"/>
    <col min="4109" max="4109" width="17.140625" style="1" customWidth="1"/>
    <col min="4110" max="4110" width="9.140625" style="1"/>
    <col min="4111" max="4111" width="22" style="1" customWidth="1"/>
    <col min="4112" max="4112" width="20.42578125" style="1" customWidth="1"/>
    <col min="4113" max="4113" width="14.85546875" style="1" customWidth="1"/>
    <col min="4114" max="4114" width="21.42578125" style="1" customWidth="1"/>
    <col min="4115" max="4357" width="9.140625" style="1"/>
    <col min="4358" max="4358" width="1.140625" style="1" customWidth="1"/>
    <col min="4359" max="4359" width="2.5703125" style="1" customWidth="1"/>
    <col min="4360" max="4360" width="40.42578125" style="1" customWidth="1"/>
    <col min="4361" max="4362" width="18.42578125" style="1" customWidth="1"/>
    <col min="4363" max="4363" width="18.85546875" style="1" customWidth="1"/>
    <col min="4364" max="4364" width="18.42578125" style="1" customWidth="1"/>
    <col min="4365" max="4365" width="17.140625" style="1" customWidth="1"/>
    <col min="4366" max="4366" width="9.140625" style="1"/>
    <col min="4367" max="4367" width="22" style="1" customWidth="1"/>
    <col min="4368" max="4368" width="20.42578125" style="1" customWidth="1"/>
    <col min="4369" max="4369" width="14.85546875" style="1" customWidth="1"/>
    <col min="4370" max="4370" width="21.42578125" style="1" customWidth="1"/>
    <col min="4371" max="4613" width="9.140625" style="1"/>
    <col min="4614" max="4614" width="1.140625" style="1" customWidth="1"/>
    <col min="4615" max="4615" width="2.5703125" style="1" customWidth="1"/>
    <col min="4616" max="4616" width="40.42578125" style="1" customWidth="1"/>
    <col min="4617" max="4618" width="18.42578125" style="1" customWidth="1"/>
    <col min="4619" max="4619" width="18.85546875" style="1" customWidth="1"/>
    <col min="4620" max="4620" width="18.42578125" style="1" customWidth="1"/>
    <col min="4621" max="4621" width="17.140625" style="1" customWidth="1"/>
    <col min="4622" max="4622" width="9.140625" style="1"/>
    <col min="4623" max="4623" width="22" style="1" customWidth="1"/>
    <col min="4624" max="4624" width="20.42578125" style="1" customWidth="1"/>
    <col min="4625" max="4625" width="14.85546875" style="1" customWidth="1"/>
    <col min="4626" max="4626" width="21.42578125" style="1" customWidth="1"/>
    <col min="4627" max="4869" width="9.140625" style="1"/>
    <col min="4870" max="4870" width="1.140625" style="1" customWidth="1"/>
    <col min="4871" max="4871" width="2.5703125" style="1" customWidth="1"/>
    <col min="4872" max="4872" width="40.42578125" style="1" customWidth="1"/>
    <col min="4873" max="4874" width="18.42578125" style="1" customWidth="1"/>
    <col min="4875" max="4875" width="18.85546875" style="1" customWidth="1"/>
    <col min="4876" max="4876" width="18.42578125" style="1" customWidth="1"/>
    <col min="4877" max="4877" width="17.140625" style="1" customWidth="1"/>
    <col min="4878" max="4878" width="9.140625" style="1"/>
    <col min="4879" max="4879" width="22" style="1" customWidth="1"/>
    <col min="4880" max="4880" width="20.42578125" style="1" customWidth="1"/>
    <col min="4881" max="4881" width="14.85546875" style="1" customWidth="1"/>
    <col min="4882" max="4882" width="21.42578125" style="1" customWidth="1"/>
    <col min="4883" max="5125" width="9.140625" style="1"/>
    <col min="5126" max="5126" width="1.140625" style="1" customWidth="1"/>
    <col min="5127" max="5127" width="2.5703125" style="1" customWidth="1"/>
    <col min="5128" max="5128" width="40.42578125" style="1" customWidth="1"/>
    <col min="5129" max="5130" width="18.42578125" style="1" customWidth="1"/>
    <col min="5131" max="5131" width="18.85546875" style="1" customWidth="1"/>
    <col min="5132" max="5132" width="18.42578125" style="1" customWidth="1"/>
    <col min="5133" max="5133" width="17.140625" style="1" customWidth="1"/>
    <col min="5134" max="5134" width="9.140625" style="1"/>
    <col min="5135" max="5135" width="22" style="1" customWidth="1"/>
    <col min="5136" max="5136" width="20.42578125" style="1" customWidth="1"/>
    <col min="5137" max="5137" width="14.85546875" style="1" customWidth="1"/>
    <col min="5138" max="5138" width="21.42578125" style="1" customWidth="1"/>
    <col min="5139" max="5381" width="9.140625" style="1"/>
    <col min="5382" max="5382" width="1.140625" style="1" customWidth="1"/>
    <col min="5383" max="5383" width="2.5703125" style="1" customWidth="1"/>
    <col min="5384" max="5384" width="40.42578125" style="1" customWidth="1"/>
    <col min="5385" max="5386" width="18.42578125" style="1" customWidth="1"/>
    <col min="5387" max="5387" width="18.85546875" style="1" customWidth="1"/>
    <col min="5388" max="5388" width="18.42578125" style="1" customWidth="1"/>
    <col min="5389" max="5389" width="17.140625" style="1" customWidth="1"/>
    <col min="5390" max="5390" width="9.140625" style="1"/>
    <col min="5391" max="5391" width="22" style="1" customWidth="1"/>
    <col min="5392" max="5392" width="20.42578125" style="1" customWidth="1"/>
    <col min="5393" max="5393" width="14.85546875" style="1" customWidth="1"/>
    <col min="5394" max="5394" width="21.42578125" style="1" customWidth="1"/>
    <col min="5395" max="5637" width="9.140625" style="1"/>
    <col min="5638" max="5638" width="1.140625" style="1" customWidth="1"/>
    <col min="5639" max="5639" width="2.5703125" style="1" customWidth="1"/>
    <col min="5640" max="5640" width="40.42578125" style="1" customWidth="1"/>
    <col min="5641" max="5642" width="18.42578125" style="1" customWidth="1"/>
    <col min="5643" max="5643" width="18.85546875" style="1" customWidth="1"/>
    <col min="5644" max="5644" width="18.42578125" style="1" customWidth="1"/>
    <col min="5645" max="5645" width="17.140625" style="1" customWidth="1"/>
    <col min="5646" max="5646" width="9.140625" style="1"/>
    <col min="5647" max="5647" width="22" style="1" customWidth="1"/>
    <col min="5648" max="5648" width="20.42578125" style="1" customWidth="1"/>
    <col min="5649" max="5649" width="14.85546875" style="1" customWidth="1"/>
    <col min="5650" max="5650" width="21.42578125" style="1" customWidth="1"/>
    <col min="5651" max="5893" width="9.140625" style="1"/>
    <col min="5894" max="5894" width="1.140625" style="1" customWidth="1"/>
    <col min="5895" max="5895" width="2.5703125" style="1" customWidth="1"/>
    <col min="5896" max="5896" width="40.42578125" style="1" customWidth="1"/>
    <col min="5897" max="5898" width="18.42578125" style="1" customWidth="1"/>
    <col min="5899" max="5899" width="18.85546875" style="1" customWidth="1"/>
    <col min="5900" max="5900" width="18.42578125" style="1" customWidth="1"/>
    <col min="5901" max="5901" width="17.140625" style="1" customWidth="1"/>
    <col min="5902" max="5902" width="9.140625" style="1"/>
    <col min="5903" max="5903" width="22" style="1" customWidth="1"/>
    <col min="5904" max="5904" width="20.42578125" style="1" customWidth="1"/>
    <col min="5905" max="5905" width="14.85546875" style="1" customWidth="1"/>
    <col min="5906" max="5906" width="21.42578125" style="1" customWidth="1"/>
    <col min="5907" max="6149" width="9.140625" style="1"/>
    <col min="6150" max="6150" width="1.140625" style="1" customWidth="1"/>
    <col min="6151" max="6151" width="2.5703125" style="1" customWidth="1"/>
    <col min="6152" max="6152" width="40.42578125" style="1" customWidth="1"/>
    <col min="6153" max="6154" width="18.42578125" style="1" customWidth="1"/>
    <col min="6155" max="6155" width="18.85546875" style="1" customWidth="1"/>
    <col min="6156" max="6156" width="18.42578125" style="1" customWidth="1"/>
    <col min="6157" max="6157" width="17.140625" style="1" customWidth="1"/>
    <col min="6158" max="6158" width="9.140625" style="1"/>
    <col min="6159" max="6159" width="22" style="1" customWidth="1"/>
    <col min="6160" max="6160" width="20.42578125" style="1" customWidth="1"/>
    <col min="6161" max="6161" width="14.85546875" style="1" customWidth="1"/>
    <col min="6162" max="6162" width="21.42578125" style="1" customWidth="1"/>
    <col min="6163" max="6405" width="9.140625" style="1"/>
    <col min="6406" max="6406" width="1.140625" style="1" customWidth="1"/>
    <col min="6407" max="6407" width="2.5703125" style="1" customWidth="1"/>
    <col min="6408" max="6408" width="40.42578125" style="1" customWidth="1"/>
    <col min="6409" max="6410" width="18.42578125" style="1" customWidth="1"/>
    <col min="6411" max="6411" width="18.85546875" style="1" customWidth="1"/>
    <col min="6412" max="6412" width="18.42578125" style="1" customWidth="1"/>
    <col min="6413" max="6413" width="17.140625" style="1" customWidth="1"/>
    <col min="6414" max="6414" width="9.140625" style="1"/>
    <col min="6415" max="6415" width="22" style="1" customWidth="1"/>
    <col min="6416" max="6416" width="20.42578125" style="1" customWidth="1"/>
    <col min="6417" max="6417" width="14.85546875" style="1" customWidth="1"/>
    <col min="6418" max="6418" width="21.42578125" style="1" customWidth="1"/>
    <col min="6419" max="6661" width="9.140625" style="1"/>
    <col min="6662" max="6662" width="1.140625" style="1" customWidth="1"/>
    <col min="6663" max="6663" width="2.5703125" style="1" customWidth="1"/>
    <col min="6664" max="6664" width="40.42578125" style="1" customWidth="1"/>
    <col min="6665" max="6666" width="18.42578125" style="1" customWidth="1"/>
    <col min="6667" max="6667" width="18.85546875" style="1" customWidth="1"/>
    <col min="6668" max="6668" width="18.42578125" style="1" customWidth="1"/>
    <col min="6669" max="6669" width="17.140625" style="1" customWidth="1"/>
    <col min="6670" max="6670" width="9.140625" style="1"/>
    <col min="6671" max="6671" width="22" style="1" customWidth="1"/>
    <col min="6672" max="6672" width="20.42578125" style="1" customWidth="1"/>
    <col min="6673" max="6673" width="14.85546875" style="1" customWidth="1"/>
    <col min="6674" max="6674" width="21.42578125" style="1" customWidth="1"/>
    <col min="6675" max="6917" width="9.140625" style="1"/>
    <col min="6918" max="6918" width="1.140625" style="1" customWidth="1"/>
    <col min="6919" max="6919" width="2.5703125" style="1" customWidth="1"/>
    <col min="6920" max="6920" width="40.42578125" style="1" customWidth="1"/>
    <col min="6921" max="6922" width="18.42578125" style="1" customWidth="1"/>
    <col min="6923" max="6923" width="18.85546875" style="1" customWidth="1"/>
    <col min="6924" max="6924" width="18.42578125" style="1" customWidth="1"/>
    <col min="6925" max="6925" width="17.140625" style="1" customWidth="1"/>
    <col min="6926" max="6926" width="9.140625" style="1"/>
    <col min="6927" max="6927" width="22" style="1" customWidth="1"/>
    <col min="6928" max="6928" width="20.42578125" style="1" customWidth="1"/>
    <col min="6929" max="6929" width="14.85546875" style="1" customWidth="1"/>
    <col min="6930" max="6930" width="21.42578125" style="1" customWidth="1"/>
    <col min="6931" max="7173" width="9.140625" style="1"/>
    <col min="7174" max="7174" width="1.140625" style="1" customWidth="1"/>
    <col min="7175" max="7175" width="2.5703125" style="1" customWidth="1"/>
    <col min="7176" max="7176" width="40.42578125" style="1" customWidth="1"/>
    <col min="7177" max="7178" width="18.42578125" style="1" customWidth="1"/>
    <col min="7179" max="7179" width="18.85546875" style="1" customWidth="1"/>
    <col min="7180" max="7180" width="18.42578125" style="1" customWidth="1"/>
    <col min="7181" max="7181" width="17.140625" style="1" customWidth="1"/>
    <col min="7182" max="7182" width="9.140625" style="1"/>
    <col min="7183" max="7183" width="22" style="1" customWidth="1"/>
    <col min="7184" max="7184" width="20.42578125" style="1" customWidth="1"/>
    <col min="7185" max="7185" width="14.85546875" style="1" customWidth="1"/>
    <col min="7186" max="7186" width="21.42578125" style="1" customWidth="1"/>
    <col min="7187" max="7429" width="9.140625" style="1"/>
    <col min="7430" max="7430" width="1.140625" style="1" customWidth="1"/>
    <col min="7431" max="7431" width="2.5703125" style="1" customWidth="1"/>
    <col min="7432" max="7432" width="40.42578125" style="1" customWidth="1"/>
    <col min="7433" max="7434" width="18.42578125" style="1" customWidth="1"/>
    <col min="7435" max="7435" width="18.85546875" style="1" customWidth="1"/>
    <col min="7436" max="7436" width="18.42578125" style="1" customWidth="1"/>
    <col min="7437" max="7437" width="17.140625" style="1" customWidth="1"/>
    <col min="7438" max="7438" width="9.140625" style="1"/>
    <col min="7439" max="7439" width="22" style="1" customWidth="1"/>
    <col min="7440" max="7440" width="20.42578125" style="1" customWidth="1"/>
    <col min="7441" max="7441" width="14.85546875" style="1" customWidth="1"/>
    <col min="7442" max="7442" width="21.42578125" style="1" customWidth="1"/>
    <col min="7443" max="7685" width="9.140625" style="1"/>
    <col min="7686" max="7686" width="1.140625" style="1" customWidth="1"/>
    <col min="7687" max="7687" width="2.5703125" style="1" customWidth="1"/>
    <col min="7688" max="7688" width="40.42578125" style="1" customWidth="1"/>
    <col min="7689" max="7690" width="18.42578125" style="1" customWidth="1"/>
    <col min="7691" max="7691" width="18.85546875" style="1" customWidth="1"/>
    <col min="7692" max="7692" width="18.42578125" style="1" customWidth="1"/>
    <col min="7693" max="7693" width="17.140625" style="1" customWidth="1"/>
    <col min="7694" max="7694" width="9.140625" style="1"/>
    <col min="7695" max="7695" width="22" style="1" customWidth="1"/>
    <col min="7696" max="7696" width="20.42578125" style="1" customWidth="1"/>
    <col min="7697" max="7697" width="14.85546875" style="1" customWidth="1"/>
    <col min="7698" max="7698" width="21.42578125" style="1" customWidth="1"/>
    <col min="7699" max="7941" width="9.140625" style="1"/>
    <col min="7942" max="7942" width="1.140625" style="1" customWidth="1"/>
    <col min="7943" max="7943" width="2.5703125" style="1" customWidth="1"/>
    <col min="7944" max="7944" width="40.42578125" style="1" customWidth="1"/>
    <col min="7945" max="7946" width="18.42578125" style="1" customWidth="1"/>
    <col min="7947" max="7947" width="18.85546875" style="1" customWidth="1"/>
    <col min="7948" max="7948" width="18.42578125" style="1" customWidth="1"/>
    <col min="7949" max="7949" width="17.140625" style="1" customWidth="1"/>
    <col min="7950" max="7950" width="9.140625" style="1"/>
    <col min="7951" max="7951" width="22" style="1" customWidth="1"/>
    <col min="7952" max="7952" width="20.42578125" style="1" customWidth="1"/>
    <col min="7953" max="7953" width="14.85546875" style="1" customWidth="1"/>
    <col min="7954" max="7954" width="21.42578125" style="1" customWidth="1"/>
    <col min="7955" max="8197" width="9.140625" style="1"/>
    <col min="8198" max="8198" width="1.140625" style="1" customWidth="1"/>
    <col min="8199" max="8199" width="2.5703125" style="1" customWidth="1"/>
    <col min="8200" max="8200" width="40.42578125" style="1" customWidth="1"/>
    <col min="8201" max="8202" width="18.42578125" style="1" customWidth="1"/>
    <col min="8203" max="8203" width="18.85546875" style="1" customWidth="1"/>
    <col min="8204" max="8204" width="18.42578125" style="1" customWidth="1"/>
    <col min="8205" max="8205" width="17.140625" style="1" customWidth="1"/>
    <col min="8206" max="8206" width="9.140625" style="1"/>
    <col min="8207" max="8207" width="22" style="1" customWidth="1"/>
    <col min="8208" max="8208" width="20.42578125" style="1" customWidth="1"/>
    <col min="8209" max="8209" width="14.85546875" style="1" customWidth="1"/>
    <col min="8210" max="8210" width="21.42578125" style="1" customWidth="1"/>
    <col min="8211" max="8453" width="9.140625" style="1"/>
    <col min="8454" max="8454" width="1.140625" style="1" customWidth="1"/>
    <col min="8455" max="8455" width="2.5703125" style="1" customWidth="1"/>
    <col min="8456" max="8456" width="40.42578125" style="1" customWidth="1"/>
    <col min="8457" max="8458" width="18.42578125" style="1" customWidth="1"/>
    <col min="8459" max="8459" width="18.85546875" style="1" customWidth="1"/>
    <col min="8460" max="8460" width="18.42578125" style="1" customWidth="1"/>
    <col min="8461" max="8461" width="17.140625" style="1" customWidth="1"/>
    <col min="8462" max="8462" width="9.140625" style="1"/>
    <col min="8463" max="8463" width="22" style="1" customWidth="1"/>
    <col min="8464" max="8464" width="20.42578125" style="1" customWidth="1"/>
    <col min="8465" max="8465" width="14.85546875" style="1" customWidth="1"/>
    <col min="8466" max="8466" width="21.42578125" style="1" customWidth="1"/>
    <col min="8467" max="8709" width="9.140625" style="1"/>
    <col min="8710" max="8710" width="1.140625" style="1" customWidth="1"/>
    <col min="8711" max="8711" width="2.5703125" style="1" customWidth="1"/>
    <col min="8712" max="8712" width="40.42578125" style="1" customWidth="1"/>
    <col min="8713" max="8714" width="18.42578125" style="1" customWidth="1"/>
    <col min="8715" max="8715" width="18.85546875" style="1" customWidth="1"/>
    <col min="8716" max="8716" width="18.42578125" style="1" customWidth="1"/>
    <col min="8717" max="8717" width="17.140625" style="1" customWidth="1"/>
    <col min="8718" max="8718" width="9.140625" style="1"/>
    <col min="8719" max="8719" width="22" style="1" customWidth="1"/>
    <col min="8720" max="8720" width="20.42578125" style="1" customWidth="1"/>
    <col min="8721" max="8721" width="14.85546875" style="1" customWidth="1"/>
    <col min="8722" max="8722" width="21.42578125" style="1" customWidth="1"/>
    <col min="8723" max="8965" width="9.140625" style="1"/>
    <col min="8966" max="8966" width="1.140625" style="1" customWidth="1"/>
    <col min="8967" max="8967" width="2.5703125" style="1" customWidth="1"/>
    <col min="8968" max="8968" width="40.42578125" style="1" customWidth="1"/>
    <col min="8969" max="8970" width="18.42578125" style="1" customWidth="1"/>
    <col min="8971" max="8971" width="18.85546875" style="1" customWidth="1"/>
    <col min="8972" max="8972" width="18.42578125" style="1" customWidth="1"/>
    <col min="8973" max="8973" width="17.140625" style="1" customWidth="1"/>
    <col min="8974" max="8974" width="9.140625" style="1"/>
    <col min="8975" max="8975" width="22" style="1" customWidth="1"/>
    <col min="8976" max="8976" width="20.42578125" style="1" customWidth="1"/>
    <col min="8977" max="8977" width="14.85546875" style="1" customWidth="1"/>
    <col min="8978" max="8978" width="21.42578125" style="1" customWidth="1"/>
    <col min="8979" max="9221" width="9.140625" style="1"/>
    <col min="9222" max="9222" width="1.140625" style="1" customWidth="1"/>
    <col min="9223" max="9223" width="2.5703125" style="1" customWidth="1"/>
    <col min="9224" max="9224" width="40.42578125" style="1" customWidth="1"/>
    <col min="9225" max="9226" width="18.42578125" style="1" customWidth="1"/>
    <col min="9227" max="9227" width="18.85546875" style="1" customWidth="1"/>
    <col min="9228" max="9228" width="18.42578125" style="1" customWidth="1"/>
    <col min="9229" max="9229" width="17.140625" style="1" customWidth="1"/>
    <col min="9230" max="9230" width="9.140625" style="1"/>
    <col min="9231" max="9231" width="22" style="1" customWidth="1"/>
    <col min="9232" max="9232" width="20.42578125" style="1" customWidth="1"/>
    <col min="9233" max="9233" width="14.85546875" style="1" customWidth="1"/>
    <col min="9234" max="9234" width="21.42578125" style="1" customWidth="1"/>
    <col min="9235" max="9477" width="9.140625" style="1"/>
    <col min="9478" max="9478" width="1.140625" style="1" customWidth="1"/>
    <col min="9479" max="9479" width="2.5703125" style="1" customWidth="1"/>
    <col min="9480" max="9480" width="40.42578125" style="1" customWidth="1"/>
    <col min="9481" max="9482" width="18.42578125" style="1" customWidth="1"/>
    <col min="9483" max="9483" width="18.85546875" style="1" customWidth="1"/>
    <col min="9484" max="9484" width="18.42578125" style="1" customWidth="1"/>
    <col min="9485" max="9485" width="17.140625" style="1" customWidth="1"/>
    <col min="9486" max="9486" width="9.140625" style="1"/>
    <col min="9487" max="9487" width="22" style="1" customWidth="1"/>
    <col min="9488" max="9488" width="20.42578125" style="1" customWidth="1"/>
    <col min="9489" max="9489" width="14.85546875" style="1" customWidth="1"/>
    <col min="9490" max="9490" width="21.42578125" style="1" customWidth="1"/>
    <col min="9491" max="9733" width="9.140625" style="1"/>
    <col min="9734" max="9734" width="1.140625" style="1" customWidth="1"/>
    <col min="9735" max="9735" width="2.5703125" style="1" customWidth="1"/>
    <col min="9736" max="9736" width="40.42578125" style="1" customWidth="1"/>
    <col min="9737" max="9738" width="18.42578125" style="1" customWidth="1"/>
    <col min="9739" max="9739" width="18.85546875" style="1" customWidth="1"/>
    <col min="9740" max="9740" width="18.42578125" style="1" customWidth="1"/>
    <col min="9741" max="9741" width="17.140625" style="1" customWidth="1"/>
    <col min="9742" max="9742" width="9.140625" style="1"/>
    <col min="9743" max="9743" width="22" style="1" customWidth="1"/>
    <col min="9744" max="9744" width="20.42578125" style="1" customWidth="1"/>
    <col min="9745" max="9745" width="14.85546875" style="1" customWidth="1"/>
    <col min="9746" max="9746" width="21.42578125" style="1" customWidth="1"/>
    <col min="9747" max="9989" width="9.140625" style="1"/>
    <col min="9990" max="9990" width="1.140625" style="1" customWidth="1"/>
    <col min="9991" max="9991" width="2.5703125" style="1" customWidth="1"/>
    <col min="9992" max="9992" width="40.42578125" style="1" customWidth="1"/>
    <col min="9993" max="9994" width="18.42578125" style="1" customWidth="1"/>
    <col min="9995" max="9995" width="18.85546875" style="1" customWidth="1"/>
    <col min="9996" max="9996" width="18.42578125" style="1" customWidth="1"/>
    <col min="9997" max="9997" width="17.140625" style="1" customWidth="1"/>
    <col min="9998" max="9998" width="9.140625" style="1"/>
    <col min="9999" max="9999" width="22" style="1" customWidth="1"/>
    <col min="10000" max="10000" width="20.42578125" style="1" customWidth="1"/>
    <col min="10001" max="10001" width="14.85546875" style="1" customWidth="1"/>
    <col min="10002" max="10002" width="21.42578125" style="1" customWidth="1"/>
    <col min="10003" max="10245" width="9.140625" style="1"/>
    <col min="10246" max="10246" width="1.140625" style="1" customWidth="1"/>
    <col min="10247" max="10247" width="2.5703125" style="1" customWidth="1"/>
    <col min="10248" max="10248" width="40.42578125" style="1" customWidth="1"/>
    <col min="10249" max="10250" width="18.42578125" style="1" customWidth="1"/>
    <col min="10251" max="10251" width="18.85546875" style="1" customWidth="1"/>
    <col min="10252" max="10252" width="18.42578125" style="1" customWidth="1"/>
    <col min="10253" max="10253" width="17.140625" style="1" customWidth="1"/>
    <col min="10254" max="10254" width="9.140625" style="1"/>
    <col min="10255" max="10255" width="22" style="1" customWidth="1"/>
    <col min="10256" max="10256" width="20.42578125" style="1" customWidth="1"/>
    <col min="10257" max="10257" width="14.85546875" style="1" customWidth="1"/>
    <col min="10258" max="10258" width="21.42578125" style="1" customWidth="1"/>
    <col min="10259" max="10501" width="9.140625" style="1"/>
    <col min="10502" max="10502" width="1.140625" style="1" customWidth="1"/>
    <col min="10503" max="10503" width="2.5703125" style="1" customWidth="1"/>
    <col min="10504" max="10504" width="40.42578125" style="1" customWidth="1"/>
    <col min="10505" max="10506" width="18.42578125" style="1" customWidth="1"/>
    <col min="10507" max="10507" width="18.85546875" style="1" customWidth="1"/>
    <col min="10508" max="10508" width="18.42578125" style="1" customWidth="1"/>
    <col min="10509" max="10509" width="17.140625" style="1" customWidth="1"/>
    <col min="10510" max="10510" width="9.140625" style="1"/>
    <col min="10511" max="10511" width="22" style="1" customWidth="1"/>
    <col min="10512" max="10512" width="20.42578125" style="1" customWidth="1"/>
    <col min="10513" max="10513" width="14.85546875" style="1" customWidth="1"/>
    <col min="10514" max="10514" width="21.42578125" style="1" customWidth="1"/>
    <col min="10515" max="10757" width="9.140625" style="1"/>
    <col min="10758" max="10758" width="1.140625" style="1" customWidth="1"/>
    <col min="10759" max="10759" width="2.5703125" style="1" customWidth="1"/>
    <col min="10760" max="10760" width="40.42578125" style="1" customWidth="1"/>
    <col min="10761" max="10762" width="18.42578125" style="1" customWidth="1"/>
    <col min="10763" max="10763" width="18.85546875" style="1" customWidth="1"/>
    <col min="10764" max="10764" width="18.42578125" style="1" customWidth="1"/>
    <col min="10765" max="10765" width="17.140625" style="1" customWidth="1"/>
    <col min="10766" max="10766" width="9.140625" style="1"/>
    <col min="10767" max="10767" width="22" style="1" customWidth="1"/>
    <col min="10768" max="10768" width="20.42578125" style="1" customWidth="1"/>
    <col min="10769" max="10769" width="14.85546875" style="1" customWidth="1"/>
    <col min="10770" max="10770" width="21.42578125" style="1" customWidth="1"/>
    <col min="10771" max="11013" width="9.140625" style="1"/>
    <col min="11014" max="11014" width="1.140625" style="1" customWidth="1"/>
    <col min="11015" max="11015" width="2.5703125" style="1" customWidth="1"/>
    <col min="11016" max="11016" width="40.42578125" style="1" customWidth="1"/>
    <col min="11017" max="11018" width="18.42578125" style="1" customWidth="1"/>
    <col min="11019" max="11019" width="18.85546875" style="1" customWidth="1"/>
    <col min="11020" max="11020" width="18.42578125" style="1" customWidth="1"/>
    <col min="11021" max="11021" width="17.140625" style="1" customWidth="1"/>
    <col min="11022" max="11022" width="9.140625" style="1"/>
    <col min="11023" max="11023" width="22" style="1" customWidth="1"/>
    <col min="11024" max="11024" width="20.42578125" style="1" customWidth="1"/>
    <col min="11025" max="11025" width="14.85546875" style="1" customWidth="1"/>
    <col min="11026" max="11026" width="21.42578125" style="1" customWidth="1"/>
    <col min="11027" max="11269" width="9.140625" style="1"/>
    <col min="11270" max="11270" width="1.140625" style="1" customWidth="1"/>
    <col min="11271" max="11271" width="2.5703125" style="1" customWidth="1"/>
    <col min="11272" max="11272" width="40.42578125" style="1" customWidth="1"/>
    <col min="11273" max="11274" width="18.42578125" style="1" customWidth="1"/>
    <col min="11275" max="11275" width="18.85546875" style="1" customWidth="1"/>
    <col min="11276" max="11276" width="18.42578125" style="1" customWidth="1"/>
    <col min="11277" max="11277" width="17.140625" style="1" customWidth="1"/>
    <col min="11278" max="11278" width="9.140625" style="1"/>
    <col min="11279" max="11279" width="22" style="1" customWidth="1"/>
    <col min="11280" max="11280" width="20.42578125" style="1" customWidth="1"/>
    <col min="11281" max="11281" width="14.85546875" style="1" customWidth="1"/>
    <col min="11282" max="11282" width="21.42578125" style="1" customWidth="1"/>
    <col min="11283" max="11525" width="9.140625" style="1"/>
    <col min="11526" max="11526" width="1.140625" style="1" customWidth="1"/>
    <col min="11527" max="11527" width="2.5703125" style="1" customWidth="1"/>
    <col min="11528" max="11528" width="40.42578125" style="1" customWidth="1"/>
    <col min="11529" max="11530" width="18.42578125" style="1" customWidth="1"/>
    <col min="11531" max="11531" width="18.85546875" style="1" customWidth="1"/>
    <col min="11532" max="11532" width="18.42578125" style="1" customWidth="1"/>
    <col min="11533" max="11533" width="17.140625" style="1" customWidth="1"/>
    <col min="11534" max="11534" width="9.140625" style="1"/>
    <col min="11535" max="11535" width="22" style="1" customWidth="1"/>
    <col min="11536" max="11536" width="20.42578125" style="1" customWidth="1"/>
    <col min="11537" max="11537" width="14.85546875" style="1" customWidth="1"/>
    <col min="11538" max="11538" width="21.42578125" style="1" customWidth="1"/>
    <col min="11539" max="11781" width="9.140625" style="1"/>
    <col min="11782" max="11782" width="1.140625" style="1" customWidth="1"/>
    <col min="11783" max="11783" width="2.5703125" style="1" customWidth="1"/>
    <col min="11784" max="11784" width="40.42578125" style="1" customWidth="1"/>
    <col min="11785" max="11786" width="18.42578125" style="1" customWidth="1"/>
    <col min="11787" max="11787" width="18.85546875" style="1" customWidth="1"/>
    <col min="11788" max="11788" width="18.42578125" style="1" customWidth="1"/>
    <col min="11789" max="11789" width="17.140625" style="1" customWidth="1"/>
    <col min="11790" max="11790" width="9.140625" style="1"/>
    <col min="11791" max="11791" width="22" style="1" customWidth="1"/>
    <col min="11792" max="11792" width="20.42578125" style="1" customWidth="1"/>
    <col min="11793" max="11793" width="14.85546875" style="1" customWidth="1"/>
    <col min="11794" max="11794" width="21.42578125" style="1" customWidth="1"/>
    <col min="11795" max="12037" width="9.140625" style="1"/>
    <col min="12038" max="12038" width="1.140625" style="1" customWidth="1"/>
    <col min="12039" max="12039" width="2.5703125" style="1" customWidth="1"/>
    <col min="12040" max="12040" width="40.42578125" style="1" customWidth="1"/>
    <col min="12041" max="12042" width="18.42578125" style="1" customWidth="1"/>
    <col min="12043" max="12043" width="18.85546875" style="1" customWidth="1"/>
    <col min="12044" max="12044" width="18.42578125" style="1" customWidth="1"/>
    <col min="12045" max="12045" width="17.140625" style="1" customWidth="1"/>
    <col min="12046" max="12046" width="9.140625" style="1"/>
    <col min="12047" max="12047" width="22" style="1" customWidth="1"/>
    <col min="12048" max="12048" width="20.42578125" style="1" customWidth="1"/>
    <col min="12049" max="12049" width="14.85546875" style="1" customWidth="1"/>
    <col min="12050" max="12050" width="21.42578125" style="1" customWidth="1"/>
    <col min="12051" max="12293" width="9.140625" style="1"/>
    <col min="12294" max="12294" width="1.140625" style="1" customWidth="1"/>
    <col min="12295" max="12295" width="2.5703125" style="1" customWidth="1"/>
    <col min="12296" max="12296" width="40.42578125" style="1" customWidth="1"/>
    <col min="12297" max="12298" width="18.42578125" style="1" customWidth="1"/>
    <col min="12299" max="12299" width="18.85546875" style="1" customWidth="1"/>
    <col min="12300" max="12300" width="18.42578125" style="1" customWidth="1"/>
    <col min="12301" max="12301" width="17.140625" style="1" customWidth="1"/>
    <col min="12302" max="12302" width="9.140625" style="1"/>
    <col min="12303" max="12303" width="22" style="1" customWidth="1"/>
    <col min="12304" max="12304" width="20.42578125" style="1" customWidth="1"/>
    <col min="12305" max="12305" width="14.85546875" style="1" customWidth="1"/>
    <col min="12306" max="12306" width="21.42578125" style="1" customWidth="1"/>
    <col min="12307" max="12549" width="9.140625" style="1"/>
    <col min="12550" max="12550" width="1.140625" style="1" customWidth="1"/>
    <col min="12551" max="12551" width="2.5703125" style="1" customWidth="1"/>
    <col min="12552" max="12552" width="40.42578125" style="1" customWidth="1"/>
    <col min="12553" max="12554" width="18.42578125" style="1" customWidth="1"/>
    <col min="12555" max="12555" width="18.85546875" style="1" customWidth="1"/>
    <col min="12556" max="12556" width="18.42578125" style="1" customWidth="1"/>
    <col min="12557" max="12557" width="17.140625" style="1" customWidth="1"/>
    <col min="12558" max="12558" width="9.140625" style="1"/>
    <col min="12559" max="12559" width="22" style="1" customWidth="1"/>
    <col min="12560" max="12560" width="20.42578125" style="1" customWidth="1"/>
    <col min="12561" max="12561" width="14.85546875" style="1" customWidth="1"/>
    <col min="12562" max="12562" width="21.42578125" style="1" customWidth="1"/>
    <col min="12563" max="12805" width="9.140625" style="1"/>
    <col min="12806" max="12806" width="1.140625" style="1" customWidth="1"/>
    <col min="12807" max="12807" width="2.5703125" style="1" customWidth="1"/>
    <col min="12808" max="12808" width="40.42578125" style="1" customWidth="1"/>
    <col min="12809" max="12810" width="18.42578125" style="1" customWidth="1"/>
    <col min="12811" max="12811" width="18.85546875" style="1" customWidth="1"/>
    <col min="12812" max="12812" width="18.42578125" style="1" customWidth="1"/>
    <col min="12813" max="12813" width="17.140625" style="1" customWidth="1"/>
    <col min="12814" max="12814" width="9.140625" style="1"/>
    <col min="12815" max="12815" width="22" style="1" customWidth="1"/>
    <col min="12816" max="12816" width="20.42578125" style="1" customWidth="1"/>
    <col min="12817" max="12817" width="14.85546875" style="1" customWidth="1"/>
    <col min="12818" max="12818" width="21.42578125" style="1" customWidth="1"/>
    <col min="12819" max="13061" width="9.140625" style="1"/>
    <col min="13062" max="13062" width="1.140625" style="1" customWidth="1"/>
    <col min="13063" max="13063" width="2.5703125" style="1" customWidth="1"/>
    <col min="13064" max="13064" width="40.42578125" style="1" customWidth="1"/>
    <col min="13065" max="13066" width="18.42578125" style="1" customWidth="1"/>
    <col min="13067" max="13067" width="18.85546875" style="1" customWidth="1"/>
    <col min="13068" max="13068" width="18.42578125" style="1" customWidth="1"/>
    <col min="13069" max="13069" width="17.140625" style="1" customWidth="1"/>
    <col min="13070" max="13070" width="9.140625" style="1"/>
    <col min="13071" max="13071" width="22" style="1" customWidth="1"/>
    <col min="13072" max="13072" width="20.42578125" style="1" customWidth="1"/>
    <col min="13073" max="13073" width="14.85546875" style="1" customWidth="1"/>
    <col min="13074" max="13074" width="21.42578125" style="1" customWidth="1"/>
    <col min="13075" max="13317" width="9.140625" style="1"/>
    <col min="13318" max="13318" width="1.140625" style="1" customWidth="1"/>
    <col min="13319" max="13319" width="2.5703125" style="1" customWidth="1"/>
    <col min="13320" max="13320" width="40.42578125" style="1" customWidth="1"/>
    <col min="13321" max="13322" width="18.42578125" style="1" customWidth="1"/>
    <col min="13323" max="13323" width="18.85546875" style="1" customWidth="1"/>
    <col min="13324" max="13324" width="18.42578125" style="1" customWidth="1"/>
    <col min="13325" max="13325" width="17.140625" style="1" customWidth="1"/>
    <col min="13326" max="13326" width="9.140625" style="1"/>
    <col min="13327" max="13327" width="22" style="1" customWidth="1"/>
    <col min="13328" max="13328" width="20.42578125" style="1" customWidth="1"/>
    <col min="13329" max="13329" width="14.85546875" style="1" customWidth="1"/>
    <col min="13330" max="13330" width="21.42578125" style="1" customWidth="1"/>
    <col min="13331" max="13573" width="9.140625" style="1"/>
    <col min="13574" max="13574" width="1.140625" style="1" customWidth="1"/>
    <col min="13575" max="13575" width="2.5703125" style="1" customWidth="1"/>
    <col min="13576" max="13576" width="40.42578125" style="1" customWidth="1"/>
    <col min="13577" max="13578" width="18.42578125" style="1" customWidth="1"/>
    <col min="13579" max="13579" width="18.85546875" style="1" customWidth="1"/>
    <col min="13580" max="13580" width="18.42578125" style="1" customWidth="1"/>
    <col min="13581" max="13581" width="17.140625" style="1" customWidth="1"/>
    <col min="13582" max="13582" width="9.140625" style="1"/>
    <col min="13583" max="13583" width="22" style="1" customWidth="1"/>
    <col min="13584" max="13584" width="20.42578125" style="1" customWidth="1"/>
    <col min="13585" max="13585" width="14.85546875" style="1" customWidth="1"/>
    <col min="13586" max="13586" width="21.42578125" style="1" customWidth="1"/>
    <col min="13587" max="13829" width="9.140625" style="1"/>
    <col min="13830" max="13830" width="1.140625" style="1" customWidth="1"/>
    <col min="13831" max="13831" width="2.5703125" style="1" customWidth="1"/>
    <col min="13832" max="13832" width="40.42578125" style="1" customWidth="1"/>
    <col min="13833" max="13834" width="18.42578125" style="1" customWidth="1"/>
    <col min="13835" max="13835" width="18.85546875" style="1" customWidth="1"/>
    <col min="13836" max="13836" width="18.42578125" style="1" customWidth="1"/>
    <col min="13837" max="13837" width="17.140625" style="1" customWidth="1"/>
    <col min="13838" max="13838" width="9.140625" style="1"/>
    <col min="13839" max="13839" width="22" style="1" customWidth="1"/>
    <col min="13840" max="13840" width="20.42578125" style="1" customWidth="1"/>
    <col min="13841" max="13841" width="14.85546875" style="1" customWidth="1"/>
    <col min="13842" max="13842" width="21.42578125" style="1" customWidth="1"/>
    <col min="13843" max="14085" width="9.140625" style="1"/>
    <col min="14086" max="14086" width="1.140625" style="1" customWidth="1"/>
    <col min="14087" max="14087" width="2.5703125" style="1" customWidth="1"/>
    <col min="14088" max="14088" width="40.42578125" style="1" customWidth="1"/>
    <col min="14089" max="14090" width="18.42578125" style="1" customWidth="1"/>
    <col min="14091" max="14091" width="18.85546875" style="1" customWidth="1"/>
    <col min="14092" max="14092" width="18.42578125" style="1" customWidth="1"/>
    <col min="14093" max="14093" width="17.140625" style="1" customWidth="1"/>
    <col min="14094" max="14094" width="9.140625" style="1"/>
    <col min="14095" max="14095" width="22" style="1" customWidth="1"/>
    <col min="14096" max="14096" width="20.42578125" style="1" customWidth="1"/>
    <col min="14097" max="14097" width="14.85546875" style="1" customWidth="1"/>
    <col min="14098" max="14098" width="21.42578125" style="1" customWidth="1"/>
    <col min="14099" max="14341" width="9.140625" style="1"/>
    <col min="14342" max="14342" width="1.140625" style="1" customWidth="1"/>
    <col min="14343" max="14343" width="2.5703125" style="1" customWidth="1"/>
    <col min="14344" max="14344" width="40.42578125" style="1" customWidth="1"/>
    <col min="14345" max="14346" width="18.42578125" style="1" customWidth="1"/>
    <col min="14347" max="14347" width="18.85546875" style="1" customWidth="1"/>
    <col min="14348" max="14348" width="18.42578125" style="1" customWidth="1"/>
    <col min="14349" max="14349" width="17.140625" style="1" customWidth="1"/>
    <col min="14350" max="14350" width="9.140625" style="1"/>
    <col min="14351" max="14351" width="22" style="1" customWidth="1"/>
    <col min="14352" max="14352" width="20.42578125" style="1" customWidth="1"/>
    <col min="14353" max="14353" width="14.85546875" style="1" customWidth="1"/>
    <col min="14354" max="14354" width="21.42578125" style="1" customWidth="1"/>
    <col min="14355" max="14597" width="9.140625" style="1"/>
    <col min="14598" max="14598" width="1.140625" style="1" customWidth="1"/>
    <col min="14599" max="14599" width="2.5703125" style="1" customWidth="1"/>
    <col min="14600" max="14600" width="40.42578125" style="1" customWidth="1"/>
    <col min="14601" max="14602" width="18.42578125" style="1" customWidth="1"/>
    <col min="14603" max="14603" width="18.85546875" style="1" customWidth="1"/>
    <col min="14604" max="14604" width="18.42578125" style="1" customWidth="1"/>
    <col min="14605" max="14605" width="17.140625" style="1" customWidth="1"/>
    <col min="14606" max="14606" width="9.140625" style="1"/>
    <col min="14607" max="14607" width="22" style="1" customWidth="1"/>
    <col min="14608" max="14608" width="20.42578125" style="1" customWidth="1"/>
    <col min="14609" max="14609" width="14.85546875" style="1" customWidth="1"/>
    <col min="14610" max="14610" width="21.42578125" style="1" customWidth="1"/>
    <col min="14611" max="14853" width="9.140625" style="1"/>
    <col min="14854" max="14854" width="1.140625" style="1" customWidth="1"/>
    <col min="14855" max="14855" width="2.5703125" style="1" customWidth="1"/>
    <col min="14856" max="14856" width="40.42578125" style="1" customWidth="1"/>
    <col min="14857" max="14858" width="18.42578125" style="1" customWidth="1"/>
    <col min="14859" max="14859" width="18.85546875" style="1" customWidth="1"/>
    <col min="14860" max="14860" width="18.42578125" style="1" customWidth="1"/>
    <col min="14861" max="14861" width="17.140625" style="1" customWidth="1"/>
    <col min="14862" max="14862" width="9.140625" style="1"/>
    <col min="14863" max="14863" width="22" style="1" customWidth="1"/>
    <col min="14864" max="14864" width="20.42578125" style="1" customWidth="1"/>
    <col min="14865" max="14865" width="14.85546875" style="1" customWidth="1"/>
    <col min="14866" max="14866" width="21.42578125" style="1" customWidth="1"/>
    <col min="14867" max="15109" width="9.140625" style="1"/>
    <col min="15110" max="15110" width="1.140625" style="1" customWidth="1"/>
    <col min="15111" max="15111" width="2.5703125" style="1" customWidth="1"/>
    <col min="15112" max="15112" width="40.42578125" style="1" customWidth="1"/>
    <col min="15113" max="15114" width="18.42578125" style="1" customWidth="1"/>
    <col min="15115" max="15115" width="18.85546875" style="1" customWidth="1"/>
    <col min="15116" max="15116" width="18.42578125" style="1" customWidth="1"/>
    <col min="15117" max="15117" width="17.140625" style="1" customWidth="1"/>
    <col min="15118" max="15118" width="9.140625" style="1"/>
    <col min="15119" max="15119" width="22" style="1" customWidth="1"/>
    <col min="15120" max="15120" width="20.42578125" style="1" customWidth="1"/>
    <col min="15121" max="15121" width="14.85546875" style="1" customWidth="1"/>
    <col min="15122" max="15122" width="21.42578125" style="1" customWidth="1"/>
    <col min="15123" max="15365" width="9.140625" style="1"/>
    <col min="15366" max="15366" width="1.140625" style="1" customWidth="1"/>
    <col min="15367" max="15367" width="2.5703125" style="1" customWidth="1"/>
    <col min="15368" max="15368" width="40.42578125" style="1" customWidth="1"/>
    <col min="15369" max="15370" width="18.42578125" style="1" customWidth="1"/>
    <col min="15371" max="15371" width="18.85546875" style="1" customWidth="1"/>
    <col min="15372" max="15372" width="18.42578125" style="1" customWidth="1"/>
    <col min="15373" max="15373" width="17.140625" style="1" customWidth="1"/>
    <col min="15374" max="15374" width="9.140625" style="1"/>
    <col min="15375" max="15375" width="22" style="1" customWidth="1"/>
    <col min="15376" max="15376" width="20.42578125" style="1" customWidth="1"/>
    <col min="15377" max="15377" width="14.85546875" style="1" customWidth="1"/>
    <col min="15378" max="15378" width="21.42578125" style="1" customWidth="1"/>
    <col min="15379" max="15621" width="9.140625" style="1"/>
    <col min="15622" max="15622" width="1.140625" style="1" customWidth="1"/>
    <col min="15623" max="15623" width="2.5703125" style="1" customWidth="1"/>
    <col min="15624" max="15624" width="40.42578125" style="1" customWidth="1"/>
    <col min="15625" max="15626" width="18.42578125" style="1" customWidth="1"/>
    <col min="15627" max="15627" width="18.85546875" style="1" customWidth="1"/>
    <col min="15628" max="15628" width="18.42578125" style="1" customWidth="1"/>
    <col min="15629" max="15629" width="17.140625" style="1" customWidth="1"/>
    <col min="15630" max="15630" width="9.140625" style="1"/>
    <col min="15631" max="15631" width="22" style="1" customWidth="1"/>
    <col min="15632" max="15632" width="20.42578125" style="1" customWidth="1"/>
    <col min="15633" max="15633" width="14.85546875" style="1" customWidth="1"/>
    <col min="15634" max="15634" width="21.42578125" style="1" customWidth="1"/>
    <col min="15635" max="15877" width="9.140625" style="1"/>
    <col min="15878" max="15878" width="1.140625" style="1" customWidth="1"/>
    <col min="15879" max="15879" width="2.5703125" style="1" customWidth="1"/>
    <col min="15880" max="15880" width="40.42578125" style="1" customWidth="1"/>
    <col min="15881" max="15882" width="18.42578125" style="1" customWidth="1"/>
    <col min="15883" max="15883" width="18.85546875" style="1" customWidth="1"/>
    <col min="15884" max="15884" width="18.42578125" style="1" customWidth="1"/>
    <col min="15885" max="15885" width="17.140625" style="1" customWidth="1"/>
    <col min="15886" max="15886" width="9.140625" style="1"/>
    <col min="15887" max="15887" width="22" style="1" customWidth="1"/>
    <col min="15888" max="15888" width="20.42578125" style="1" customWidth="1"/>
    <col min="15889" max="15889" width="14.85546875" style="1" customWidth="1"/>
    <col min="15890" max="15890" width="21.42578125" style="1" customWidth="1"/>
    <col min="15891" max="16133" width="9.140625" style="1"/>
    <col min="16134" max="16134" width="1.140625" style="1" customWidth="1"/>
    <col min="16135" max="16135" width="2.5703125" style="1" customWidth="1"/>
    <col min="16136" max="16136" width="40.42578125" style="1" customWidth="1"/>
    <col min="16137" max="16138" width="18.42578125" style="1" customWidth="1"/>
    <col min="16139" max="16139" width="18.85546875" style="1" customWidth="1"/>
    <col min="16140" max="16140" width="18.42578125" style="1" customWidth="1"/>
    <col min="16141" max="16141" width="17.140625" style="1" customWidth="1"/>
    <col min="16142" max="16142" width="9.140625" style="1"/>
    <col min="16143" max="16143" width="22" style="1" customWidth="1"/>
    <col min="16144" max="16144" width="20.42578125" style="1" customWidth="1"/>
    <col min="16145" max="16145" width="14.85546875" style="1" customWidth="1"/>
    <col min="16146" max="16146" width="21.42578125" style="1" customWidth="1"/>
    <col min="16147" max="16384" width="9.140625" style="1"/>
  </cols>
  <sheetData>
    <row r="1" spans="1:17" ht="15" customHeight="1" thickBot="1">
      <c r="C1" s="526" t="s">
        <v>538</v>
      </c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</row>
    <row r="2" spans="1:17" ht="13.5" thickTop="1">
      <c r="C2" s="528" t="s">
        <v>361</v>
      </c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</row>
    <row r="3" spans="1:17">
      <c r="C3" s="530" t="s">
        <v>0</v>
      </c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2"/>
      <c r="P3" s="532"/>
      <c r="Q3" s="532"/>
    </row>
    <row r="4" spans="1:17">
      <c r="C4" s="317"/>
      <c r="D4" s="318"/>
      <c r="E4" s="318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</row>
    <row r="5" spans="1:17">
      <c r="C5" s="215"/>
      <c r="F5" s="247"/>
      <c r="G5" s="216"/>
      <c r="H5" s="217" t="s">
        <v>1</v>
      </c>
      <c r="I5" s="218" t="s">
        <v>2</v>
      </c>
      <c r="J5" s="218"/>
      <c r="K5" s="219" t="s">
        <v>468</v>
      </c>
      <c r="L5" s="258"/>
      <c r="M5" s="259"/>
      <c r="N5" s="260"/>
      <c r="O5" s="250"/>
      <c r="P5" s="252"/>
      <c r="Q5" s="250"/>
    </row>
    <row r="6" spans="1:17">
      <c r="C6" s="215"/>
      <c r="F6" s="245" t="s">
        <v>1</v>
      </c>
      <c r="G6" s="179" t="s">
        <v>2</v>
      </c>
      <c r="H6" s="179" t="s">
        <v>3</v>
      </c>
      <c r="I6" s="179" t="s">
        <v>469</v>
      </c>
      <c r="J6" s="179" t="s">
        <v>3</v>
      </c>
      <c r="K6" s="161" t="s">
        <v>194</v>
      </c>
      <c r="L6" s="7"/>
      <c r="M6" s="220" t="s">
        <v>4</v>
      </c>
      <c r="O6" s="179" t="s">
        <v>3</v>
      </c>
      <c r="P6" s="179" t="s">
        <v>3</v>
      </c>
      <c r="Q6" s="179" t="s">
        <v>3</v>
      </c>
    </row>
    <row r="7" spans="1:17">
      <c r="C7" s="215"/>
      <c r="F7" s="249" t="s">
        <v>239</v>
      </c>
      <c r="G7" s="179" t="s">
        <v>469</v>
      </c>
      <c r="H7" s="180" t="s">
        <v>522</v>
      </c>
      <c r="I7" s="180" t="s">
        <v>539</v>
      </c>
      <c r="J7" s="180" t="s">
        <v>532</v>
      </c>
      <c r="K7" s="162" t="s">
        <v>5</v>
      </c>
      <c r="L7" s="9"/>
      <c r="M7" s="220" t="s">
        <v>5</v>
      </c>
      <c r="O7" s="180" t="s">
        <v>534</v>
      </c>
      <c r="P7" s="180" t="s">
        <v>536</v>
      </c>
      <c r="Q7" s="180" t="s">
        <v>540</v>
      </c>
    </row>
    <row r="8" spans="1:17">
      <c r="C8" s="215"/>
      <c r="F8" s="245" t="s">
        <v>1</v>
      </c>
      <c r="G8" s="173" t="s">
        <v>514</v>
      </c>
      <c r="H8" s="243" t="s">
        <v>437</v>
      </c>
      <c r="I8" s="180" t="s">
        <v>558</v>
      </c>
      <c r="J8" s="243" t="s">
        <v>437</v>
      </c>
      <c r="K8" s="161" t="s">
        <v>553</v>
      </c>
      <c r="L8" s="7"/>
      <c r="M8" s="220" t="s">
        <v>6</v>
      </c>
      <c r="O8" s="180" t="s">
        <v>533</v>
      </c>
      <c r="P8" s="180" t="s">
        <v>535</v>
      </c>
      <c r="Q8" s="180" t="s">
        <v>537</v>
      </c>
    </row>
    <row r="9" spans="1:17">
      <c r="C9" s="215"/>
      <c r="F9" s="245"/>
      <c r="G9" s="222" t="s">
        <v>436</v>
      </c>
      <c r="H9" s="179" t="s">
        <v>255</v>
      </c>
      <c r="I9" s="179" t="s">
        <v>432</v>
      </c>
      <c r="J9" s="180" t="s">
        <v>470</v>
      </c>
      <c r="K9" s="180" t="s">
        <v>533</v>
      </c>
      <c r="L9" s="139"/>
      <c r="M9" s="220"/>
      <c r="O9" s="255"/>
      <c r="P9" s="182"/>
      <c r="Q9" s="255"/>
    </row>
    <row r="10" spans="1:17">
      <c r="C10" s="223"/>
      <c r="D10" s="224"/>
      <c r="E10" s="224"/>
      <c r="F10" s="246"/>
      <c r="G10" s="225"/>
      <c r="H10" s="226"/>
      <c r="I10" s="226"/>
      <c r="J10" s="447" t="s">
        <v>1</v>
      </c>
      <c r="K10" s="227"/>
      <c r="L10" s="228"/>
      <c r="M10" s="229"/>
      <c r="O10" s="251"/>
      <c r="P10" s="253"/>
      <c r="Q10" s="251"/>
    </row>
    <row r="11" spans="1:17">
      <c r="C11" s="125" t="s">
        <v>240</v>
      </c>
      <c r="D11" s="125" t="s">
        <v>241</v>
      </c>
      <c r="E11" s="125" t="s">
        <v>242</v>
      </c>
      <c r="F11" s="247"/>
      <c r="G11" s="230" t="s">
        <v>7</v>
      </c>
      <c r="H11" s="217" t="s">
        <v>7</v>
      </c>
      <c r="I11" s="217" t="s">
        <v>7</v>
      </c>
      <c r="J11" s="231" t="s">
        <v>7</v>
      </c>
      <c r="K11" s="231" t="s">
        <v>7</v>
      </c>
      <c r="L11" s="139"/>
      <c r="M11" s="8"/>
      <c r="O11" s="231" t="s">
        <v>7</v>
      </c>
      <c r="P11" s="231" t="s">
        <v>7</v>
      </c>
      <c r="Q11" s="231" t="s">
        <v>7</v>
      </c>
    </row>
    <row r="12" spans="1:17">
      <c r="F12" s="244" t="s">
        <v>434</v>
      </c>
      <c r="G12" s="232"/>
      <c r="H12" s="221"/>
      <c r="I12" s="221"/>
      <c r="J12" s="163"/>
      <c r="K12" s="170"/>
      <c r="L12" s="139"/>
      <c r="M12" s="8"/>
      <c r="O12" s="255"/>
      <c r="P12" s="182"/>
      <c r="Q12" s="255"/>
    </row>
    <row r="13" spans="1:17">
      <c r="A13" s="124">
        <v>20012</v>
      </c>
      <c r="B13" s="126" t="s">
        <v>197</v>
      </c>
      <c r="C13" s="125">
        <v>11</v>
      </c>
      <c r="D13" s="126" t="s">
        <v>243</v>
      </c>
      <c r="E13" s="126" t="s">
        <v>209</v>
      </c>
      <c r="F13" s="245" t="s">
        <v>10</v>
      </c>
      <c r="G13" s="319">
        <v>44681246175</v>
      </c>
      <c r="H13" s="319">
        <v>47155955181.580002</v>
      </c>
      <c r="I13" s="320">
        <v>29444069045.610001</v>
      </c>
      <c r="J13" s="320">
        <v>47200478898.809998</v>
      </c>
      <c r="K13" s="319">
        <f>J13-H13</f>
        <v>44523717.229995728</v>
      </c>
      <c r="L13" s="234"/>
      <c r="M13" s="234" t="s">
        <v>7</v>
      </c>
      <c r="N13" s="235"/>
      <c r="O13" s="205"/>
      <c r="P13" s="205"/>
      <c r="Q13" s="205"/>
    </row>
    <row r="14" spans="1:17">
      <c r="A14" s="124">
        <v>20056</v>
      </c>
      <c r="B14" s="126" t="s">
        <v>197</v>
      </c>
      <c r="C14" s="125">
        <v>11</v>
      </c>
      <c r="D14" s="126" t="s">
        <v>209</v>
      </c>
      <c r="E14" s="126" t="s">
        <v>209</v>
      </c>
      <c r="F14" s="245" t="s">
        <v>244</v>
      </c>
      <c r="G14" s="319">
        <v>66422288975</v>
      </c>
      <c r="H14" s="319">
        <f>71223072081.22-1010000000</f>
        <v>70213072081.220001</v>
      </c>
      <c r="I14" s="320">
        <v>30519617125.939999</v>
      </c>
      <c r="J14" s="320">
        <v>68513545370.139999</v>
      </c>
      <c r="K14" s="319">
        <f t="shared" ref="K14:K42" si="0">J14-H14</f>
        <v>-1699526711.0800018</v>
      </c>
      <c r="L14" s="236"/>
      <c r="M14" s="236"/>
      <c r="N14" s="235"/>
      <c r="O14" s="205"/>
      <c r="P14" s="205"/>
      <c r="Q14" s="205"/>
    </row>
    <row r="15" spans="1:17">
      <c r="A15" s="124">
        <v>20056</v>
      </c>
      <c r="B15" s="126" t="s">
        <v>197</v>
      </c>
      <c r="C15" s="125">
        <v>11</v>
      </c>
      <c r="D15" s="126" t="s">
        <v>209</v>
      </c>
      <c r="E15" s="126" t="s">
        <v>216</v>
      </c>
      <c r="F15" s="245" t="s">
        <v>350</v>
      </c>
      <c r="G15" s="319">
        <v>71127369126</v>
      </c>
      <c r="H15" s="319">
        <v>74095360318.059998</v>
      </c>
      <c r="I15" s="320">
        <v>49819108358.80999</v>
      </c>
      <c r="J15" s="320">
        <f>72646440385.28+6005846336.5</f>
        <v>78652286721.779999</v>
      </c>
      <c r="K15" s="319">
        <f t="shared" si="0"/>
        <v>4556926403.7200012</v>
      </c>
      <c r="L15" s="236"/>
      <c r="M15" s="236"/>
      <c r="N15" s="235"/>
      <c r="O15" s="205"/>
      <c r="P15" s="205"/>
      <c r="Q15" s="205"/>
    </row>
    <row r="16" spans="1:17">
      <c r="A16" s="124">
        <v>20056</v>
      </c>
      <c r="B16" s="126" t="s">
        <v>197</v>
      </c>
      <c r="C16" s="125">
        <v>11</v>
      </c>
      <c r="D16" s="126" t="s">
        <v>216</v>
      </c>
      <c r="E16" s="126" t="s">
        <v>209</v>
      </c>
      <c r="F16" s="245" t="s">
        <v>12</v>
      </c>
      <c r="G16" s="319">
        <v>20714054689</v>
      </c>
      <c r="H16" s="319">
        <v>22807904631.299999</v>
      </c>
      <c r="I16" s="320">
        <v>15729484021.639999</v>
      </c>
      <c r="J16" s="320">
        <f>16885366426.67+2460668443.29</f>
        <v>19346034869.959999</v>
      </c>
      <c r="K16" s="319">
        <f t="shared" si="0"/>
        <v>-3461869761.3400002</v>
      </c>
      <c r="L16" s="236"/>
      <c r="M16" s="236"/>
      <c r="N16" s="235"/>
      <c r="O16" s="205"/>
      <c r="P16" s="205"/>
      <c r="Q16" s="205"/>
    </row>
    <row r="17" spans="1:20">
      <c r="A17" s="124">
        <v>20012</v>
      </c>
      <c r="B17" s="126" t="s">
        <v>197</v>
      </c>
      <c r="C17" s="125">
        <v>11</v>
      </c>
      <c r="D17" s="126">
        <v>19</v>
      </c>
      <c r="E17" s="126" t="s">
        <v>209</v>
      </c>
      <c r="F17" s="245" t="s">
        <v>515</v>
      </c>
      <c r="G17" s="319">
        <v>4680113629</v>
      </c>
      <c r="H17" s="319">
        <v>2920572113.8099999</v>
      </c>
      <c r="I17" s="320">
        <v>1478406750.7099998</v>
      </c>
      <c r="J17" s="320">
        <v>5142931703.71</v>
      </c>
      <c r="K17" s="319">
        <f t="shared" si="0"/>
        <v>2222359589.9000001</v>
      </c>
      <c r="L17" s="236"/>
      <c r="M17" s="236"/>
      <c r="N17" s="235"/>
      <c r="O17" s="205"/>
      <c r="P17" s="205"/>
      <c r="Q17" s="205"/>
    </row>
    <row r="18" spans="1:20">
      <c r="A18" s="124">
        <v>20056</v>
      </c>
      <c r="B18" s="126" t="s">
        <v>197</v>
      </c>
      <c r="C18" s="125">
        <v>11</v>
      </c>
      <c r="D18" s="125">
        <v>19</v>
      </c>
      <c r="E18" s="126" t="s">
        <v>209</v>
      </c>
      <c r="F18" s="245" t="s">
        <v>516</v>
      </c>
      <c r="G18" s="319">
        <v>2425630764</v>
      </c>
      <c r="H18" s="319">
        <v>5462677521.0299997</v>
      </c>
      <c r="I18" s="320">
        <v>3633285919.9599996</v>
      </c>
      <c r="J18" s="320">
        <v>2310120102.6799998</v>
      </c>
      <c r="K18" s="319">
        <f t="shared" si="0"/>
        <v>-3152557418.3499999</v>
      </c>
      <c r="L18" s="236"/>
      <c r="M18" s="236"/>
      <c r="N18" s="235"/>
      <c r="O18" s="205"/>
      <c r="P18" s="205"/>
      <c r="Q18" s="205"/>
    </row>
    <row r="19" spans="1:20">
      <c r="A19" s="124">
        <v>20056</v>
      </c>
      <c r="B19" s="126" t="s">
        <v>197</v>
      </c>
      <c r="C19" s="125">
        <v>11</v>
      </c>
      <c r="D19" s="125">
        <v>25</v>
      </c>
      <c r="E19" s="126" t="s">
        <v>209</v>
      </c>
      <c r="F19" s="245" t="s">
        <v>351</v>
      </c>
      <c r="G19" s="319">
        <v>4449579480</v>
      </c>
      <c r="H19" s="319">
        <v>4919511149.79</v>
      </c>
      <c r="I19" s="320">
        <v>3419379549.4599996</v>
      </c>
      <c r="J19" s="320">
        <v>4745650759.6800003</v>
      </c>
      <c r="K19" s="319">
        <f t="shared" si="0"/>
        <v>-173860390.10999966</v>
      </c>
      <c r="L19" s="236">
        <v>29512468806.279999</v>
      </c>
      <c r="M19" s="236"/>
      <c r="N19" s="235"/>
      <c r="O19" s="205"/>
      <c r="P19" s="205"/>
      <c r="Q19" s="205"/>
    </row>
    <row r="20" spans="1:20">
      <c r="A20" s="124">
        <v>20012</v>
      </c>
      <c r="B20" s="126" t="s">
        <v>197</v>
      </c>
      <c r="C20" s="125">
        <v>11</v>
      </c>
      <c r="D20" s="125">
        <v>30</v>
      </c>
      <c r="E20" s="126" t="s">
        <v>208</v>
      </c>
      <c r="F20" s="245" t="s">
        <v>13</v>
      </c>
      <c r="G20" s="319">
        <v>305042</v>
      </c>
      <c r="H20" s="319">
        <v>595803.43999999994</v>
      </c>
      <c r="I20" s="320">
        <v>6636273.7999999998</v>
      </c>
      <c r="J20" s="448">
        <v>1131964.329168773</v>
      </c>
      <c r="K20" s="319">
        <f t="shared" si="0"/>
        <v>536160.88916877308</v>
      </c>
      <c r="L20" s="236">
        <v>8369141.7599999998</v>
      </c>
      <c r="M20" s="236" t="e">
        <f>#REF!-#REF!</f>
        <v>#REF!</v>
      </c>
      <c r="N20" s="235"/>
      <c r="O20" s="205"/>
      <c r="P20" s="205"/>
      <c r="Q20" s="205"/>
      <c r="R20" s="233"/>
      <c r="T20" s="308"/>
    </row>
    <row r="21" spans="1:20">
      <c r="A21" s="124">
        <v>20056</v>
      </c>
      <c r="B21" s="126" t="s">
        <v>197</v>
      </c>
      <c r="C21" s="125">
        <v>11</v>
      </c>
      <c r="D21" s="125">
        <v>30</v>
      </c>
      <c r="E21" s="126" t="s">
        <v>222</v>
      </c>
      <c r="F21" s="245" t="s">
        <v>246</v>
      </c>
      <c r="G21" s="319">
        <v>362713070</v>
      </c>
      <c r="H21" s="319">
        <v>300464972.94</v>
      </c>
      <c r="I21" s="320">
        <v>148565938.10000002</v>
      </c>
      <c r="J21" s="448">
        <f>570852077.545475-68030335.97</f>
        <v>502821741.57547498</v>
      </c>
      <c r="K21" s="319">
        <f t="shared" si="0"/>
        <v>202356768.63547498</v>
      </c>
      <c r="L21" s="236"/>
      <c r="M21" s="236"/>
      <c r="N21" s="235"/>
      <c r="O21" s="205"/>
      <c r="P21" s="205"/>
      <c r="Q21" s="205"/>
      <c r="R21" s="233"/>
      <c r="T21" s="308"/>
    </row>
    <row r="22" spans="1:20">
      <c r="A22" s="124">
        <v>20056</v>
      </c>
      <c r="B22" s="126" t="s">
        <v>197</v>
      </c>
      <c r="C22" s="125">
        <v>11</v>
      </c>
      <c r="D22" s="125">
        <v>30</v>
      </c>
      <c r="E22" s="126" t="s">
        <v>232</v>
      </c>
      <c r="F22" s="245" t="s">
        <v>14</v>
      </c>
      <c r="G22" s="319">
        <v>13476247</v>
      </c>
      <c r="H22" s="319">
        <v>8064842.9900000002</v>
      </c>
      <c r="I22" s="320">
        <v>4992324.3499999996</v>
      </c>
      <c r="J22" s="448">
        <v>15322359.644359946</v>
      </c>
      <c r="K22" s="319">
        <f t="shared" si="0"/>
        <v>7257516.654359946</v>
      </c>
      <c r="L22" s="236">
        <v>29520837948.039997</v>
      </c>
      <c r="M22" s="236" t="e">
        <f>SUM(M19:M20)</f>
        <v>#REF!</v>
      </c>
      <c r="N22" s="235"/>
      <c r="O22" s="205"/>
      <c r="P22" s="205"/>
      <c r="Q22" s="205"/>
      <c r="R22" s="233"/>
      <c r="T22" s="308"/>
    </row>
    <row r="23" spans="1:20">
      <c r="A23" s="124">
        <v>20056</v>
      </c>
      <c r="B23" s="126" t="s">
        <v>197</v>
      </c>
      <c r="C23" s="125">
        <v>11</v>
      </c>
      <c r="D23" s="125">
        <v>30</v>
      </c>
      <c r="E23" s="126" t="s">
        <v>349</v>
      </c>
      <c r="F23" s="245" t="s">
        <v>15</v>
      </c>
      <c r="G23" s="319">
        <v>17562048</v>
      </c>
      <c r="H23" s="319">
        <v>13221606.83</v>
      </c>
      <c r="I23" s="320">
        <v>74727900.020000011</v>
      </c>
      <c r="J23" s="448">
        <v>25119672.531353999</v>
      </c>
      <c r="K23" s="319">
        <f t="shared" si="0"/>
        <v>11898065.701353999</v>
      </c>
      <c r="L23" s="236"/>
      <c r="M23" s="236"/>
      <c r="N23" s="235"/>
      <c r="O23" s="205"/>
      <c r="P23" s="205"/>
      <c r="Q23" s="205"/>
      <c r="R23" s="233"/>
      <c r="T23" s="308"/>
    </row>
    <row r="24" spans="1:20">
      <c r="A24" s="124">
        <v>20056</v>
      </c>
      <c r="B24" s="126" t="s">
        <v>197</v>
      </c>
      <c r="C24" s="125">
        <v>11</v>
      </c>
      <c r="D24" s="125">
        <v>30</v>
      </c>
      <c r="E24" s="125">
        <v>11</v>
      </c>
      <c r="F24" s="245" t="s">
        <v>16</v>
      </c>
      <c r="G24" s="319">
        <v>8526592</v>
      </c>
      <c r="H24" s="319">
        <v>4941702.2699999996</v>
      </c>
      <c r="I24" s="320">
        <v>1886234.31</v>
      </c>
      <c r="J24" s="448">
        <v>9388718.3582094666</v>
      </c>
      <c r="K24" s="319">
        <f t="shared" si="0"/>
        <v>4447016.088209467</v>
      </c>
      <c r="L24" s="236"/>
      <c r="M24" s="236"/>
      <c r="N24" s="235"/>
      <c r="O24" s="205"/>
      <c r="P24" s="205"/>
      <c r="Q24" s="205"/>
      <c r="R24" s="233"/>
      <c r="T24" s="308"/>
    </row>
    <row r="25" spans="1:20">
      <c r="A25" s="124">
        <v>20056</v>
      </c>
      <c r="B25" s="126" t="s">
        <v>197</v>
      </c>
      <c r="C25" s="125">
        <v>11</v>
      </c>
      <c r="D25" s="125">
        <v>30</v>
      </c>
      <c r="E25" s="126">
        <v>99</v>
      </c>
      <c r="F25" s="245" t="s">
        <v>247</v>
      </c>
      <c r="G25" s="319">
        <v>157457245</v>
      </c>
      <c r="H25" s="319">
        <v>29982522.640000001</v>
      </c>
      <c r="I25" s="320">
        <v>10251503.67</v>
      </c>
      <c r="J25" s="448">
        <v>56963662.591433093</v>
      </c>
      <c r="K25" s="319">
        <f t="shared" si="0"/>
        <v>26981139.951433092</v>
      </c>
      <c r="L25" s="236"/>
      <c r="M25" s="236"/>
      <c r="N25" s="235"/>
      <c r="O25" s="205"/>
      <c r="P25" s="205"/>
      <c r="Q25" s="205"/>
      <c r="R25" s="233"/>
      <c r="T25" s="308"/>
    </row>
    <row r="26" spans="1:20">
      <c r="A26" s="124">
        <v>20012</v>
      </c>
      <c r="B26" s="126" t="s">
        <v>197</v>
      </c>
      <c r="C26" s="125">
        <v>11</v>
      </c>
      <c r="D26" s="126">
        <v>53</v>
      </c>
      <c r="E26" s="126" t="s">
        <v>209</v>
      </c>
      <c r="F26" s="245" t="s">
        <v>248</v>
      </c>
      <c r="G26" s="319">
        <v>14910882585</v>
      </c>
      <c r="H26" s="319">
        <v>16068252844.860001</v>
      </c>
      <c r="I26" s="320">
        <v>2394950417.5500002</v>
      </c>
      <c r="J26" s="320">
        <v>3549614545.4499998</v>
      </c>
      <c r="K26" s="319">
        <f t="shared" si="0"/>
        <v>-12518638299.41</v>
      </c>
      <c r="L26" s="236">
        <v>42196693458.389999</v>
      </c>
      <c r="M26" s="236" t="e">
        <f>#REF!-#REF!</f>
        <v>#REF!</v>
      </c>
      <c r="N26" s="235"/>
      <c r="O26" s="205"/>
      <c r="P26" s="306"/>
      <c r="Q26" s="305"/>
      <c r="T26" s="308"/>
    </row>
    <row r="27" spans="1:20">
      <c r="A27" s="124">
        <v>20012</v>
      </c>
      <c r="B27" s="126" t="s">
        <v>197</v>
      </c>
      <c r="C27" s="125">
        <v>11</v>
      </c>
      <c r="D27" s="126">
        <v>53</v>
      </c>
      <c r="E27" s="126" t="s">
        <v>216</v>
      </c>
      <c r="F27" s="245" t="s">
        <v>191</v>
      </c>
      <c r="G27" s="319">
        <v>6874982400</v>
      </c>
      <c r="H27" s="319">
        <v>6443587155.1400003</v>
      </c>
      <c r="I27" s="320">
        <v>1295681148.51</v>
      </c>
      <c r="J27" s="320">
        <f>4880720000-3549614545</f>
        <v>1331105455</v>
      </c>
      <c r="K27" s="319">
        <f t="shared" si="0"/>
        <v>-5112481700.1400003</v>
      </c>
      <c r="L27" s="236">
        <v>76878801727.820007</v>
      </c>
      <c r="M27" s="236" t="e">
        <f>#REF!-#REF!</f>
        <v>#REF!</v>
      </c>
      <c r="N27" s="235"/>
      <c r="O27" s="205"/>
      <c r="P27" s="205"/>
      <c r="Q27" s="205"/>
      <c r="R27" s="307"/>
      <c r="T27" s="308"/>
    </row>
    <row r="28" spans="1:20">
      <c r="A28" s="124">
        <v>20056</v>
      </c>
      <c r="B28" s="126" t="s">
        <v>197</v>
      </c>
      <c r="C28" s="125">
        <v>11</v>
      </c>
      <c r="D28" s="126">
        <v>20</v>
      </c>
      <c r="E28" s="126" t="s">
        <v>209</v>
      </c>
      <c r="F28" s="245" t="s">
        <v>249</v>
      </c>
      <c r="G28" s="319">
        <v>5431713817</v>
      </c>
      <c r="H28" s="319">
        <v>6730427193.6300001</v>
      </c>
      <c r="I28" s="320">
        <v>4544951381.5700006</v>
      </c>
      <c r="J28" s="320">
        <v>7333722323.3999996</v>
      </c>
      <c r="K28" s="319">
        <f t="shared" si="0"/>
        <v>603295129.7699995</v>
      </c>
      <c r="L28" s="236"/>
      <c r="M28" s="236" t="e">
        <f>#REF!-#REF!</f>
        <v>#REF!</v>
      </c>
      <c r="N28" s="235"/>
      <c r="O28" s="205"/>
      <c r="P28" s="205"/>
      <c r="Q28" s="205"/>
    </row>
    <row r="29" spans="1:20">
      <c r="A29" s="124">
        <v>20056</v>
      </c>
      <c r="B29" s="126" t="s">
        <v>197</v>
      </c>
      <c r="C29" s="125">
        <v>11</v>
      </c>
      <c r="D29" s="126" t="s">
        <v>201</v>
      </c>
      <c r="E29" s="126" t="s">
        <v>209</v>
      </c>
      <c r="F29" s="245" t="s">
        <v>250</v>
      </c>
      <c r="G29" s="319">
        <v>31871426613</v>
      </c>
      <c r="H29" s="319">
        <v>34449108534.870003</v>
      </c>
      <c r="I29" s="320">
        <v>21226335630.709999</v>
      </c>
      <c r="J29" s="320">
        <v>34219754197.540001</v>
      </c>
      <c r="K29" s="319">
        <f t="shared" si="0"/>
        <v>-229354337.33000183</v>
      </c>
      <c r="L29" s="236">
        <v>11801001471.74</v>
      </c>
      <c r="M29" s="236" t="e">
        <f>#REF!-#REF!</f>
        <v>#REF!</v>
      </c>
      <c r="N29" s="235"/>
      <c r="O29" s="205"/>
      <c r="P29" s="205"/>
      <c r="Q29" s="205"/>
    </row>
    <row r="30" spans="1:20">
      <c r="A30" s="124">
        <v>20056</v>
      </c>
      <c r="B30" s="126" t="s">
        <v>197</v>
      </c>
      <c r="C30" s="125">
        <v>11</v>
      </c>
      <c r="D30" s="126" t="s">
        <v>204</v>
      </c>
      <c r="E30" s="126" t="s">
        <v>209</v>
      </c>
      <c r="F30" s="245" t="s">
        <v>254</v>
      </c>
      <c r="G30" s="319">
        <v>2759590848</v>
      </c>
      <c r="H30" s="319">
        <v>2463060887</v>
      </c>
      <c r="I30" s="320">
        <v>1251432373.9200001</v>
      </c>
      <c r="J30" s="320">
        <v>2119444443.3199999</v>
      </c>
      <c r="K30" s="319">
        <f t="shared" si="0"/>
        <v>-343616443.68000007</v>
      </c>
      <c r="L30" s="236"/>
      <c r="M30" s="236" t="s">
        <v>1</v>
      </c>
      <c r="N30" s="235"/>
      <c r="O30" s="205"/>
      <c r="P30" s="205"/>
      <c r="Q30" s="205"/>
    </row>
    <row r="31" spans="1:20">
      <c r="A31" s="124">
        <v>20012</v>
      </c>
      <c r="B31" s="126" t="s">
        <v>197</v>
      </c>
      <c r="C31" s="125">
        <v>11</v>
      </c>
      <c r="D31" s="126">
        <v>15</v>
      </c>
      <c r="E31" s="126" t="s">
        <v>209</v>
      </c>
      <c r="F31" s="245" t="s">
        <v>344</v>
      </c>
      <c r="G31" s="319">
        <v>105533921168</v>
      </c>
      <c r="H31" s="319">
        <f>116412966100.91-7165531528</f>
        <v>109247434572.91</v>
      </c>
      <c r="I31" s="320">
        <v>56997148270.750008</v>
      </c>
      <c r="J31" s="320">
        <f>109272355567.88+2578000000</f>
        <v>111850355567.88</v>
      </c>
      <c r="K31" s="319">
        <f t="shared" si="0"/>
        <v>2602920994.9700012</v>
      </c>
      <c r="L31" s="236"/>
      <c r="M31" s="236"/>
      <c r="N31" s="235"/>
      <c r="O31" s="205"/>
      <c r="P31" s="205"/>
      <c r="Q31" s="205"/>
    </row>
    <row r="32" spans="1:20">
      <c r="A32" s="124">
        <v>20056</v>
      </c>
      <c r="B32" s="126" t="s">
        <v>197</v>
      </c>
      <c r="C32" s="125">
        <v>11</v>
      </c>
      <c r="D32" s="126">
        <v>15</v>
      </c>
      <c r="E32" s="126" t="s">
        <v>209</v>
      </c>
      <c r="F32" s="245" t="s">
        <v>344</v>
      </c>
      <c r="G32" s="319">
        <v>93732767618</v>
      </c>
      <c r="H32" s="319">
        <f>97273374251.54-6802468472</f>
        <v>90470905779.539993</v>
      </c>
      <c r="I32" s="320">
        <v>67112762372.009987</v>
      </c>
      <c r="J32" s="320">
        <v>91466981046</v>
      </c>
      <c r="K32" s="319">
        <f t="shared" si="0"/>
        <v>996075266.46000671</v>
      </c>
      <c r="L32" s="236"/>
      <c r="M32" s="236"/>
      <c r="N32" s="235"/>
      <c r="O32" s="205"/>
      <c r="P32" s="205"/>
      <c r="Q32" s="205"/>
    </row>
    <row r="33" spans="1:20">
      <c r="A33" s="124">
        <v>20012</v>
      </c>
      <c r="B33" s="126" t="s">
        <v>197</v>
      </c>
      <c r="C33" s="125">
        <v>11</v>
      </c>
      <c r="D33" s="126">
        <v>16</v>
      </c>
      <c r="E33" s="126" t="s">
        <v>209</v>
      </c>
      <c r="F33" s="245" t="s">
        <v>345</v>
      </c>
      <c r="G33" s="319">
        <v>26866639478</v>
      </c>
      <c r="H33" s="319">
        <v>31857545353.34</v>
      </c>
      <c r="I33" s="320">
        <v>29984301988.439999</v>
      </c>
      <c r="J33" s="320">
        <v>31305986400</v>
      </c>
      <c r="K33" s="319">
        <f t="shared" si="0"/>
        <v>-551558953.34000015</v>
      </c>
      <c r="L33" s="236"/>
      <c r="M33" s="236"/>
      <c r="N33" s="235"/>
      <c r="O33" s="205"/>
      <c r="P33" s="205"/>
      <c r="Q33" s="205"/>
    </row>
    <row r="34" spans="1:20">
      <c r="A34" s="124">
        <v>20056</v>
      </c>
      <c r="B34" s="126" t="s">
        <v>197</v>
      </c>
      <c r="C34" s="125">
        <v>11</v>
      </c>
      <c r="D34" s="126">
        <v>16</v>
      </c>
      <c r="E34" s="126" t="s">
        <v>209</v>
      </c>
      <c r="F34" s="245" t="s">
        <v>345</v>
      </c>
      <c r="G34" s="319">
        <v>52794159990</v>
      </c>
      <c r="H34" s="319">
        <v>51490723367.900002</v>
      </c>
      <c r="I34" s="320">
        <v>18455410807.619999</v>
      </c>
      <c r="J34" s="320">
        <v>52681800000</v>
      </c>
      <c r="K34" s="319">
        <f t="shared" si="0"/>
        <v>1191076632.0999985</v>
      </c>
      <c r="L34" s="236"/>
      <c r="M34" s="236"/>
      <c r="N34" s="235"/>
      <c r="O34" s="205"/>
      <c r="P34" s="205"/>
      <c r="Q34" s="205"/>
    </row>
    <row r="35" spans="1:20">
      <c r="A35" s="124">
        <v>20012</v>
      </c>
      <c r="B35" s="126" t="s">
        <v>197</v>
      </c>
      <c r="C35" s="125">
        <v>11</v>
      </c>
      <c r="D35" s="126">
        <v>32</v>
      </c>
      <c r="E35" s="126" t="s">
        <v>209</v>
      </c>
      <c r="F35" s="245" t="s">
        <v>346</v>
      </c>
      <c r="G35" s="319">
        <v>671119049</v>
      </c>
      <c r="H35" s="319">
        <v>3805926468.5599999</v>
      </c>
      <c r="I35" s="320">
        <v>2581102091.3899999</v>
      </c>
      <c r="J35" s="320">
        <v>627770606.32000005</v>
      </c>
      <c r="K35" s="319">
        <f t="shared" si="0"/>
        <v>-3178155862.2399998</v>
      </c>
      <c r="L35" s="236">
        <v>12022404539.059999</v>
      </c>
      <c r="M35" s="236">
        <f>SUM(M34:M34)</f>
        <v>0</v>
      </c>
      <c r="N35" s="235"/>
      <c r="O35" s="205"/>
      <c r="P35" s="205"/>
      <c r="Q35" s="205"/>
    </row>
    <row r="36" spans="1:20">
      <c r="A36" s="124">
        <v>20056</v>
      </c>
      <c r="B36" s="126" t="s">
        <v>197</v>
      </c>
      <c r="C36" s="125">
        <v>11</v>
      </c>
      <c r="D36" s="126">
        <v>32</v>
      </c>
      <c r="E36" s="126" t="s">
        <v>209</v>
      </c>
      <c r="F36" s="245" t="s">
        <v>346</v>
      </c>
      <c r="G36" s="319">
        <v>3620961261</v>
      </c>
      <c r="H36" s="319">
        <v>637363473.65999997</v>
      </c>
      <c r="I36" s="320">
        <v>445064951.38999999</v>
      </c>
      <c r="J36" s="320">
        <v>3586630919.1100001</v>
      </c>
      <c r="K36" s="319">
        <f t="shared" si="0"/>
        <v>2949267445.4500003</v>
      </c>
      <c r="L36" s="236"/>
      <c r="M36" s="236"/>
      <c r="N36" s="235"/>
      <c r="O36" s="205"/>
      <c r="P36" s="205"/>
      <c r="Q36" s="205"/>
    </row>
    <row r="37" spans="1:20">
      <c r="A37" s="124">
        <v>20056</v>
      </c>
      <c r="B37" s="126" t="s">
        <v>197</v>
      </c>
      <c r="C37" s="125">
        <v>11</v>
      </c>
      <c r="D37" s="126">
        <v>35</v>
      </c>
      <c r="E37" s="126" t="s">
        <v>209</v>
      </c>
      <c r="F37" s="245" t="s">
        <v>251</v>
      </c>
      <c r="G37" s="319">
        <v>2120336459</v>
      </c>
      <c r="H37" s="319">
        <v>2510240000</v>
      </c>
      <c r="I37" s="320">
        <v>2702208575.6700001</v>
      </c>
      <c r="J37" s="320">
        <v>3354650876</v>
      </c>
      <c r="K37" s="319">
        <f t="shared" si="0"/>
        <v>844410876</v>
      </c>
      <c r="L37" s="236"/>
      <c r="M37" s="236"/>
      <c r="N37" s="235"/>
      <c r="O37" s="205"/>
      <c r="P37" s="205"/>
      <c r="Q37" s="205"/>
      <c r="T37" s="10">
        <f>572461288759.7-J43</f>
        <v>0</v>
      </c>
    </row>
    <row r="38" spans="1:20">
      <c r="A38" s="124">
        <v>20056</v>
      </c>
      <c r="B38" s="126" t="s">
        <v>197</v>
      </c>
      <c r="C38" s="125">
        <v>11</v>
      </c>
      <c r="D38" s="126">
        <v>20</v>
      </c>
      <c r="E38" s="126" t="s">
        <v>209</v>
      </c>
      <c r="F38" s="245" t="s">
        <v>352</v>
      </c>
      <c r="G38" s="319">
        <v>2930778485</v>
      </c>
      <c r="H38" s="319">
        <v>3115380908</v>
      </c>
      <c r="I38" s="320">
        <v>487191983.25999999</v>
      </c>
      <c r="J38" s="320">
        <v>645600000</v>
      </c>
      <c r="K38" s="319">
        <f t="shared" si="0"/>
        <v>-2469780908</v>
      </c>
      <c r="L38" s="236"/>
      <c r="M38" s="236"/>
      <c r="N38" s="235"/>
      <c r="O38" s="205"/>
      <c r="P38" s="205"/>
      <c r="Q38" s="205"/>
    </row>
    <row r="39" spans="1:20">
      <c r="A39" s="124">
        <v>20056</v>
      </c>
      <c r="B39" s="126" t="s">
        <v>197</v>
      </c>
      <c r="C39" s="125">
        <v>11</v>
      </c>
      <c r="D39" s="126">
        <v>62</v>
      </c>
      <c r="E39" s="126" t="s">
        <v>209</v>
      </c>
      <c r="F39" s="245" t="s">
        <v>18</v>
      </c>
      <c r="G39" s="319">
        <v>0</v>
      </c>
      <c r="H39" s="319">
        <v>0</v>
      </c>
      <c r="I39" s="320">
        <v>87556057.269999996</v>
      </c>
      <c r="J39" s="320">
        <v>0</v>
      </c>
      <c r="K39" s="319">
        <f t="shared" si="0"/>
        <v>0</v>
      </c>
      <c r="L39" s="236">
        <v>2966636851.3400002</v>
      </c>
      <c r="M39" s="236" t="e">
        <f>#REF!-#REF!</f>
        <v>#REF!</v>
      </c>
      <c r="N39" s="235"/>
      <c r="O39" s="205"/>
      <c r="P39" s="205"/>
      <c r="Q39" s="205"/>
    </row>
    <row r="40" spans="1:20">
      <c r="A40" s="124">
        <v>68000</v>
      </c>
      <c r="B40" s="126">
        <v>577</v>
      </c>
      <c r="C40" s="125">
        <v>11</v>
      </c>
      <c r="D40" s="126">
        <v>60</v>
      </c>
      <c r="E40" s="126" t="s">
        <v>209</v>
      </c>
      <c r="F40" s="261" t="s">
        <v>121</v>
      </c>
      <c r="G40" s="319">
        <v>63611389</v>
      </c>
      <c r="H40" s="319">
        <v>84215326.030000001</v>
      </c>
      <c r="I40" s="321">
        <v>73656585.879999995</v>
      </c>
      <c r="J40" s="321">
        <v>84185845.890000001</v>
      </c>
      <c r="K40" s="319">
        <f t="shared" si="0"/>
        <v>-29480.140000000596</v>
      </c>
      <c r="L40" s="236"/>
      <c r="M40" s="236"/>
      <c r="N40" s="235"/>
      <c r="O40" s="205"/>
      <c r="P40" s="205"/>
      <c r="Q40" s="205"/>
    </row>
    <row r="41" spans="1:20">
      <c r="A41" s="124">
        <v>50000</v>
      </c>
      <c r="B41" s="126">
        <v>794</v>
      </c>
      <c r="C41" s="125">
        <v>11</v>
      </c>
      <c r="D41" s="126">
        <v>55</v>
      </c>
      <c r="E41" s="126" t="s">
        <v>209</v>
      </c>
      <c r="F41" s="245" t="s">
        <v>252</v>
      </c>
      <c r="G41" s="319">
        <v>329688042</v>
      </c>
      <c r="H41" s="319">
        <v>345294000</v>
      </c>
      <c r="I41" s="320">
        <v>187178601.58999997</v>
      </c>
      <c r="J41" s="320">
        <v>304929988</v>
      </c>
      <c r="K41" s="319">
        <f t="shared" si="0"/>
        <v>-40364012</v>
      </c>
      <c r="L41" s="236">
        <v>2966636851.3400002</v>
      </c>
      <c r="M41" s="236" t="e">
        <f>SUM(M39:M40)</f>
        <v>#REF!</v>
      </c>
      <c r="N41" s="235"/>
      <c r="O41" s="205"/>
      <c r="P41" s="205"/>
      <c r="Q41" s="205"/>
    </row>
    <row r="42" spans="1:20" ht="13.5" thickBot="1">
      <c r="A42" s="124">
        <v>56000</v>
      </c>
      <c r="B42" s="126">
        <v>761</v>
      </c>
      <c r="C42" s="125">
        <v>11</v>
      </c>
      <c r="D42" s="126">
        <v>30</v>
      </c>
      <c r="E42" s="126" t="s">
        <v>209</v>
      </c>
      <c r="F42" s="245" t="s">
        <v>253</v>
      </c>
      <c r="G42" s="319">
        <v>305406716</v>
      </c>
      <c r="H42" s="319">
        <v>1155435179.22</v>
      </c>
      <c r="I42" s="320">
        <v>1295842984.6199999</v>
      </c>
      <c r="J42" s="320">
        <v>1476960000</v>
      </c>
      <c r="K42" s="319">
        <f t="shared" si="0"/>
        <v>321524820.77999997</v>
      </c>
      <c r="L42" s="236"/>
      <c r="M42" s="236"/>
      <c r="N42" s="235"/>
      <c r="O42" s="205"/>
      <c r="P42" s="205"/>
      <c r="Q42" s="205"/>
    </row>
    <row r="43" spans="1:20" s="123" customFormat="1" ht="16.5" thickBot="1">
      <c r="A43" s="127"/>
      <c r="B43" s="128"/>
      <c r="C43" s="128"/>
      <c r="D43" s="128"/>
      <c r="E43" s="128"/>
      <c r="F43" s="262" t="s">
        <v>19</v>
      </c>
      <c r="G43" s="449">
        <f>SUM(G13:G42)+4</f>
        <v>565878309004</v>
      </c>
      <c r="H43" s="449">
        <f t="shared" ref="H43:Q43" si="1">SUM(H13:H42)</f>
        <v>588807225492.56006</v>
      </c>
      <c r="I43" s="449">
        <f>SUM(I13:I42)</f>
        <v>345413187168.53009</v>
      </c>
      <c r="J43" s="449">
        <f>SUM(J13:J42)</f>
        <v>572461288759.69983</v>
      </c>
      <c r="K43" s="322">
        <f t="shared" si="1"/>
        <v>-16345936732.859995</v>
      </c>
      <c r="L43" s="239">
        <f t="shared" si="1"/>
        <v>207873850795.76999</v>
      </c>
      <c r="M43" s="239" t="e">
        <f t="shared" si="1"/>
        <v>#REF!</v>
      </c>
      <c r="N43" s="254">
        <f t="shared" si="1"/>
        <v>0</v>
      </c>
      <c r="O43" s="239">
        <f t="shared" si="1"/>
        <v>0</v>
      </c>
      <c r="P43" s="239">
        <f t="shared" si="1"/>
        <v>0</v>
      </c>
      <c r="Q43" s="239">
        <f t="shared" si="1"/>
        <v>0</v>
      </c>
    </row>
    <row r="44" spans="1:20">
      <c r="F44" s="245"/>
      <c r="G44" s="328" t="s">
        <v>1</v>
      </c>
      <c r="H44" s="319"/>
      <c r="I44" s="319"/>
      <c r="J44" s="320"/>
      <c r="K44" s="319"/>
      <c r="L44" s="236"/>
      <c r="M44" s="236"/>
      <c r="N44" s="235"/>
      <c r="O44" s="205"/>
      <c r="P44" s="205"/>
      <c r="Q44" s="205"/>
    </row>
    <row r="45" spans="1:20" ht="25.5">
      <c r="F45" s="244" t="s">
        <v>503</v>
      </c>
      <c r="G45" s="328" t="s">
        <v>1</v>
      </c>
      <c r="H45" s="319"/>
      <c r="I45" s="319"/>
      <c r="J45" s="323"/>
      <c r="K45" s="319"/>
      <c r="L45" s="236"/>
      <c r="M45" s="236"/>
      <c r="N45" s="235"/>
      <c r="O45" s="205"/>
      <c r="P45" s="205"/>
      <c r="Q45" s="205"/>
    </row>
    <row r="46" spans="1:20">
      <c r="A46" s="129" t="s">
        <v>504</v>
      </c>
      <c r="B46" s="126" t="s">
        <v>197</v>
      </c>
      <c r="C46" s="125">
        <v>12</v>
      </c>
      <c r="D46" s="125">
        <v>17</v>
      </c>
      <c r="E46" s="125">
        <v>14</v>
      </c>
      <c r="F46" s="245" t="s">
        <v>34</v>
      </c>
      <c r="G46" s="328"/>
      <c r="H46" s="319" t="s">
        <v>1</v>
      </c>
      <c r="I46" s="319"/>
      <c r="J46" s="323"/>
      <c r="K46" s="319"/>
      <c r="L46" s="236"/>
      <c r="M46" s="236"/>
      <c r="N46" s="235"/>
      <c r="O46" s="205"/>
      <c r="P46" s="205"/>
      <c r="Q46" s="205"/>
    </row>
    <row r="47" spans="1:20" ht="13.5" thickBot="1">
      <c r="A47" s="129" t="s">
        <v>504</v>
      </c>
      <c r="B47" s="126" t="s">
        <v>197</v>
      </c>
      <c r="C47" s="125">
        <v>12</v>
      </c>
      <c r="D47" s="125">
        <v>99</v>
      </c>
      <c r="E47" s="125">
        <v>99</v>
      </c>
      <c r="F47" s="245" t="s">
        <v>192</v>
      </c>
      <c r="G47" s="319">
        <v>10600</v>
      </c>
      <c r="H47" s="319">
        <v>35000</v>
      </c>
      <c r="I47" s="319">
        <v>497788.04</v>
      </c>
      <c r="J47" s="320">
        <v>40000</v>
      </c>
      <c r="K47" s="319">
        <f>J47-H47</f>
        <v>5000</v>
      </c>
      <c r="L47" s="236"/>
      <c r="M47" s="236"/>
      <c r="N47" s="235"/>
      <c r="O47" s="205">
        <v>40000</v>
      </c>
      <c r="P47" s="205">
        <v>40000</v>
      </c>
      <c r="Q47" s="205">
        <v>40000</v>
      </c>
    </row>
    <row r="48" spans="1:20" ht="26.25" thickBot="1">
      <c r="A48" s="129"/>
      <c r="B48" s="126"/>
      <c r="F48" s="499" t="s">
        <v>505</v>
      </c>
      <c r="G48" s="496">
        <f>SUM(G47)</f>
        <v>10600</v>
      </c>
      <c r="H48" s="449">
        <f>SUM(H46:H47)</f>
        <v>35000</v>
      </c>
      <c r="I48" s="449">
        <f>SUM(I45:I47)</f>
        <v>497788.04</v>
      </c>
      <c r="J48" s="449">
        <f t="shared" ref="J48" si="2">SUM(J46:J47)</f>
        <v>40000</v>
      </c>
      <c r="K48" s="449">
        <f t="shared" ref="K48:Q48" si="3">SUM(K46:K47)</f>
        <v>5000</v>
      </c>
      <c r="L48" s="450">
        <f t="shared" si="3"/>
        <v>0</v>
      </c>
      <c r="M48" s="450">
        <f t="shared" si="3"/>
        <v>0</v>
      </c>
      <c r="N48" s="451">
        <f t="shared" si="3"/>
        <v>0</v>
      </c>
      <c r="O48" s="450">
        <f t="shared" si="3"/>
        <v>40000</v>
      </c>
      <c r="P48" s="450">
        <f t="shared" si="3"/>
        <v>40000</v>
      </c>
      <c r="Q48" s="450">
        <f t="shared" si="3"/>
        <v>40000</v>
      </c>
    </row>
    <row r="49" spans="1:17">
      <c r="F49" s="245"/>
      <c r="G49" s="328"/>
      <c r="H49" s="319"/>
      <c r="I49" s="319" t="s">
        <v>1</v>
      </c>
      <c r="J49" s="319"/>
      <c r="K49" s="319"/>
      <c r="L49" s="236"/>
      <c r="M49" s="236"/>
      <c r="N49" s="235"/>
      <c r="O49" s="205"/>
      <c r="P49" s="205"/>
      <c r="Q49" s="205"/>
    </row>
    <row r="50" spans="1:17">
      <c r="F50" s="244" t="s">
        <v>560</v>
      </c>
      <c r="G50" s="328"/>
      <c r="H50" s="319"/>
      <c r="I50" s="319" t="s">
        <v>1</v>
      </c>
      <c r="J50" s="319"/>
      <c r="K50" s="319">
        <f>J50-H50</f>
        <v>0</v>
      </c>
      <c r="L50" s="236"/>
      <c r="M50" s="236"/>
      <c r="N50" s="235"/>
      <c r="O50" s="205"/>
      <c r="P50" s="205"/>
      <c r="Q50" s="205"/>
    </row>
    <row r="51" spans="1:17" ht="13.5" thickBot="1">
      <c r="A51" s="129" t="s">
        <v>198</v>
      </c>
      <c r="B51" s="126" t="s">
        <v>197</v>
      </c>
      <c r="C51" s="125">
        <v>12</v>
      </c>
      <c r="D51" s="126" t="s">
        <v>201</v>
      </c>
      <c r="E51" s="125">
        <v>13</v>
      </c>
      <c r="F51" s="245" t="s">
        <v>199</v>
      </c>
      <c r="G51" s="319">
        <v>4970000</v>
      </c>
      <c r="H51" s="319">
        <v>5420000</v>
      </c>
      <c r="I51" s="319">
        <v>2772269.45</v>
      </c>
      <c r="J51" s="319">
        <v>4500000</v>
      </c>
      <c r="K51" s="319">
        <f>J51-H51</f>
        <v>-920000</v>
      </c>
      <c r="L51" s="236"/>
      <c r="M51" s="236"/>
      <c r="N51" s="235"/>
      <c r="O51" s="205">
        <v>45000000</v>
      </c>
      <c r="P51" s="205">
        <v>45000000</v>
      </c>
      <c r="Q51" s="205">
        <v>45000000</v>
      </c>
    </row>
    <row r="52" spans="1:17" s="123" customFormat="1" ht="13.5" thickBot="1">
      <c r="A52" s="130"/>
      <c r="B52" s="131"/>
      <c r="C52" s="128"/>
      <c r="D52" s="131"/>
      <c r="E52" s="128"/>
      <c r="F52" s="499" t="s">
        <v>561</v>
      </c>
      <c r="G52" s="496">
        <f>SUM(G51)</f>
        <v>4970000</v>
      </c>
      <c r="H52" s="322">
        <f>SUM(H51)</f>
        <v>5420000</v>
      </c>
      <c r="I52" s="322">
        <f>SUM(I51)</f>
        <v>2772269.45</v>
      </c>
      <c r="J52" s="449">
        <f t="shared" ref="J52" si="4">SUM(J50:J51)</f>
        <v>4500000</v>
      </c>
      <c r="K52" s="449">
        <f t="shared" ref="K52:Q52" si="5">SUM(K50:K51)</f>
        <v>-920000</v>
      </c>
      <c r="L52" s="450">
        <f t="shared" si="5"/>
        <v>0</v>
      </c>
      <c r="M52" s="450">
        <f t="shared" si="5"/>
        <v>0</v>
      </c>
      <c r="N52" s="451">
        <f t="shared" si="5"/>
        <v>0</v>
      </c>
      <c r="O52" s="450">
        <f t="shared" si="5"/>
        <v>45000000</v>
      </c>
      <c r="P52" s="450">
        <f t="shared" si="5"/>
        <v>45000000</v>
      </c>
      <c r="Q52" s="450">
        <f t="shared" si="5"/>
        <v>45000000</v>
      </c>
    </row>
    <row r="53" spans="1:17">
      <c r="F53" s="245"/>
      <c r="G53" s="328"/>
      <c r="H53" s="319"/>
      <c r="I53" s="319" t="s">
        <v>1</v>
      </c>
      <c r="J53" s="319"/>
      <c r="K53" s="319"/>
      <c r="L53" s="236"/>
      <c r="M53" s="236"/>
      <c r="N53" s="235"/>
      <c r="O53" s="205"/>
      <c r="P53" s="205"/>
      <c r="Q53" s="205"/>
    </row>
    <row r="54" spans="1:17">
      <c r="F54" s="244" t="s">
        <v>262</v>
      </c>
      <c r="G54" s="328"/>
      <c r="H54" s="319"/>
      <c r="I54" s="319"/>
      <c r="J54" s="319"/>
      <c r="K54" s="319"/>
      <c r="L54" s="236"/>
      <c r="M54" s="236"/>
      <c r="N54" s="235"/>
      <c r="O54" s="205"/>
      <c r="P54" s="205"/>
      <c r="Q54" s="205"/>
    </row>
    <row r="55" spans="1:17">
      <c r="A55" s="129" t="s">
        <v>200</v>
      </c>
      <c r="B55" s="126" t="s">
        <v>197</v>
      </c>
      <c r="C55" s="125">
        <v>12</v>
      </c>
      <c r="D55" s="125">
        <v>16</v>
      </c>
      <c r="E55" s="126" t="s">
        <v>204</v>
      </c>
      <c r="F55" s="245" t="s">
        <v>205</v>
      </c>
      <c r="G55" s="319">
        <v>5000000</v>
      </c>
      <c r="H55" s="319">
        <v>4997000</v>
      </c>
      <c r="I55" s="319"/>
      <c r="J55" s="319">
        <v>4998500</v>
      </c>
      <c r="K55" s="319">
        <f>J55-H55</f>
        <v>1500</v>
      </c>
      <c r="L55" s="236">
        <f>SUM(J55:J55)</f>
        <v>4998500</v>
      </c>
      <c r="M55" s="236" t="e">
        <f>#REF!-#REF!</f>
        <v>#REF!</v>
      </c>
      <c r="N55" s="235"/>
      <c r="O55" s="205"/>
      <c r="P55" s="205"/>
      <c r="Q55" s="205"/>
    </row>
    <row r="56" spans="1:17" ht="13.5" thickBot="1">
      <c r="A56" s="129" t="s">
        <v>200</v>
      </c>
      <c r="B56" s="126" t="s">
        <v>197</v>
      </c>
      <c r="C56" s="125">
        <v>12</v>
      </c>
      <c r="D56" s="125">
        <v>99</v>
      </c>
      <c r="E56" s="125">
        <v>99</v>
      </c>
      <c r="F56" s="245" t="s">
        <v>202</v>
      </c>
      <c r="G56" s="319">
        <v>5000</v>
      </c>
      <c r="H56" s="319">
        <v>3000</v>
      </c>
      <c r="I56" s="319"/>
      <c r="J56" s="319">
        <v>1500</v>
      </c>
      <c r="K56" s="319">
        <f t="shared" ref="K56" si="6">-J56-H56</f>
        <v>-4500</v>
      </c>
      <c r="L56" s="236"/>
      <c r="M56" s="236"/>
      <c r="N56" s="235"/>
      <c r="O56" s="205"/>
      <c r="P56" s="205"/>
      <c r="Q56" s="205"/>
    </row>
    <row r="57" spans="1:17" s="123" customFormat="1" ht="13.5" thickBot="1">
      <c r="A57" s="130"/>
      <c r="B57" s="131"/>
      <c r="C57" s="128"/>
      <c r="D57" s="128"/>
      <c r="E57" s="128"/>
      <c r="F57" s="499" t="s">
        <v>261</v>
      </c>
      <c r="G57" s="496">
        <f>SUM(G55:G56)</f>
        <v>5005000</v>
      </c>
      <c r="H57" s="322">
        <f>SUM(H55:H56)</f>
        <v>5000000</v>
      </c>
      <c r="I57" s="322">
        <f>SUM(I55:I56)</f>
        <v>0</v>
      </c>
      <c r="J57" s="322">
        <f t="shared" ref="J57" si="7">SUM(J55:J56)</f>
        <v>5000000</v>
      </c>
      <c r="K57" s="322">
        <f t="shared" ref="K57:Q57" si="8">SUM(K55:K56)</f>
        <v>-3000</v>
      </c>
      <c r="L57" s="239">
        <f t="shared" si="8"/>
        <v>4998500</v>
      </c>
      <c r="M57" s="239" t="e">
        <f t="shared" si="8"/>
        <v>#REF!</v>
      </c>
      <c r="N57" s="254">
        <f t="shared" si="8"/>
        <v>0</v>
      </c>
      <c r="O57" s="239">
        <f t="shared" si="8"/>
        <v>0</v>
      </c>
      <c r="P57" s="239">
        <f t="shared" si="8"/>
        <v>0</v>
      </c>
      <c r="Q57" s="239">
        <f t="shared" si="8"/>
        <v>0</v>
      </c>
    </row>
    <row r="58" spans="1:17">
      <c r="A58" s="129"/>
      <c r="B58" s="126"/>
      <c r="E58" s="126"/>
      <c r="F58" s="245"/>
      <c r="G58" s="328"/>
      <c r="H58" s="319"/>
      <c r="I58" s="319" t="s">
        <v>1</v>
      </c>
      <c r="J58" s="319"/>
      <c r="K58" s="319"/>
      <c r="L58" s="236"/>
      <c r="M58" s="236"/>
      <c r="N58" s="235"/>
      <c r="O58" s="205"/>
      <c r="P58" s="205"/>
      <c r="Q58" s="205"/>
    </row>
    <row r="59" spans="1:17">
      <c r="F59" s="244" t="s">
        <v>33</v>
      </c>
      <c r="G59" s="328"/>
      <c r="H59" s="319"/>
      <c r="I59" s="319" t="s">
        <v>1</v>
      </c>
      <c r="J59" s="319"/>
      <c r="K59" s="319"/>
      <c r="L59" s="236">
        <f>SUM(J59:J59)</f>
        <v>0</v>
      </c>
      <c r="M59" s="236" t="e">
        <f>#REF!-#REF!</f>
        <v>#REF!</v>
      </c>
      <c r="N59" s="235"/>
      <c r="O59" s="205"/>
      <c r="P59" s="205"/>
      <c r="Q59" s="205"/>
    </row>
    <row r="60" spans="1:17">
      <c r="A60" s="129" t="s">
        <v>509</v>
      </c>
      <c r="B60" s="126" t="s">
        <v>197</v>
      </c>
      <c r="C60" s="125">
        <v>12</v>
      </c>
      <c r="D60" s="125">
        <v>17</v>
      </c>
      <c r="E60" s="125">
        <v>14</v>
      </c>
      <c r="F60" s="261" t="s">
        <v>34</v>
      </c>
      <c r="G60" s="319">
        <v>5000</v>
      </c>
      <c r="H60" s="319"/>
      <c r="I60" s="319" t="s">
        <v>1</v>
      </c>
      <c r="J60" s="319">
        <v>7000</v>
      </c>
      <c r="K60" s="319">
        <f t="shared" ref="K60:K61" si="9">J60-H60</f>
        <v>7000</v>
      </c>
      <c r="L60" s="236">
        <f>SUM(J60:J60)</f>
        <v>7000</v>
      </c>
      <c r="M60" s="236" t="e">
        <f>#REF!-#REF!</f>
        <v>#REF!</v>
      </c>
      <c r="N60" s="235"/>
      <c r="O60" s="205">
        <v>7350</v>
      </c>
      <c r="P60" s="205">
        <v>7718</v>
      </c>
      <c r="Q60" s="205">
        <v>8103</v>
      </c>
    </row>
    <row r="61" spans="1:17" ht="13.5" thickBot="1">
      <c r="A61" s="129" t="s">
        <v>509</v>
      </c>
      <c r="B61" s="126" t="s">
        <v>197</v>
      </c>
      <c r="C61" s="125">
        <v>12</v>
      </c>
      <c r="D61" s="125">
        <v>99</v>
      </c>
      <c r="E61" s="125">
        <v>99</v>
      </c>
      <c r="F61" s="245" t="s">
        <v>202</v>
      </c>
      <c r="G61" s="319">
        <v>121558</v>
      </c>
      <c r="H61" s="319">
        <v>49000</v>
      </c>
      <c r="I61" s="319">
        <v>89061.8</v>
      </c>
      <c r="J61" s="319">
        <v>105000</v>
      </c>
      <c r="K61" s="319">
        <f t="shared" si="9"/>
        <v>56000</v>
      </c>
      <c r="L61" s="236"/>
      <c r="M61" s="236"/>
      <c r="N61" s="235"/>
      <c r="O61" s="205">
        <v>110250</v>
      </c>
      <c r="P61" s="205">
        <v>115763</v>
      </c>
      <c r="Q61" s="205">
        <v>121551</v>
      </c>
    </row>
    <row r="62" spans="1:17" s="123" customFormat="1" ht="13.5" thickBot="1">
      <c r="A62" s="130"/>
      <c r="B62" s="131"/>
      <c r="C62" s="128"/>
      <c r="D62" s="128"/>
      <c r="E62" s="128"/>
      <c r="F62" s="499" t="s">
        <v>263</v>
      </c>
      <c r="G62" s="497">
        <f>SUM(G60:G61)</f>
        <v>126558</v>
      </c>
      <c r="H62" s="322">
        <f>SUM(H60:H61)</f>
        <v>49000</v>
      </c>
      <c r="I62" s="322">
        <f>SUM(I60:I61)</f>
        <v>89061.8</v>
      </c>
      <c r="J62" s="322">
        <f t="shared" ref="J62" si="10">SUM(J60:J61)</f>
        <v>112000</v>
      </c>
      <c r="K62" s="322">
        <f>SUM(K60:K61)</f>
        <v>63000</v>
      </c>
      <c r="L62" s="239">
        <f t="shared" ref="L62:Q62" si="11">SUM(L60:L61)</f>
        <v>7000</v>
      </c>
      <c r="M62" s="239" t="e">
        <f t="shared" si="11"/>
        <v>#REF!</v>
      </c>
      <c r="N62" s="254">
        <f t="shared" si="11"/>
        <v>0</v>
      </c>
      <c r="O62" s="239">
        <f t="shared" si="11"/>
        <v>117600</v>
      </c>
      <c r="P62" s="239">
        <f t="shared" si="11"/>
        <v>123481</v>
      </c>
      <c r="Q62" s="239">
        <f t="shared" si="11"/>
        <v>129654</v>
      </c>
    </row>
    <row r="63" spans="1:17">
      <c r="F63" s="261"/>
      <c r="G63" s="328"/>
      <c r="H63" s="319"/>
      <c r="I63" s="319" t="s">
        <v>1</v>
      </c>
      <c r="J63" s="319"/>
      <c r="K63" s="319"/>
      <c r="L63" s="236">
        <f>SUM(J63:J63)</f>
        <v>0</v>
      </c>
      <c r="M63" s="236" t="e">
        <f>#REF!-#REF!</f>
        <v>#REF!</v>
      </c>
      <c r="N63" s="235"/>
      <c r="O63" s="205"/>
      <c r="P63" s="205"/>
      <c r="Q63" s="205"/>
    </row>
    <row r="64" spans="1:17">
      <c r="F64" s="244" t="s">
        <v>35</v>
      </c>
      <c r="G64" s="328"/>
      <c r="H64" s="319"/>
      <c r="I64" s="319" t="s">
        <v>1</v>
      </c>
      <c r="J64" s="319"/>
      <c r="K64" s="319"/>
      <c r="L64" s="236">
        <f>SUM(J64:J64)</f>
        <v>0</v>
      </c>
      <c r="M64" s="236" t="e">
        <f>#REF!-#REF!</f>
        <v>#REF!</v>
      </c>
      <c r="N64" s="235"/>
      <c r="O64" s="205"/>
      <c r="P64" s="205"/>
      <c r="Q64" s="205"/>
    </row>
    <row r="65" spans="1:17">
      <c r="A65" s="129" t="s">
        <v>203</v>
      </c>
      <c r="B65" s="126" t="s">
        <v>197</v>
      </c>
      <c r="C65" s="125">
        <v>12</v>
      </c>
      <c r="D65" s="125">
        <v>10</v>
      </c>
      <c r="E65" s="125">
        <v>99</v>
      </c>
      <c r="F65" s="245" t="s">
        <v>257</v>
      </c>
      <c r="G65" s="319">
        <v>25000</v>
      </c>
      <c r="H65" s="319">
        <v>600000</v>
      </c>
      <c r="I65" s="319" t="s">
        <v>1</v>
      </c>
      <c r="J65" s="319">
        <v>780000</v>
      </c>
      <c r="K65" s="319">
        <f t="shared" ref="K65:K67" si="12">J65-H65</f>
        <v>180000</v>
      </c>
      <c r="L65" s="236"/>
      <c r="M65" s="236"/>
      <c r="N65" s="235"/>
      <c r="O65" s="205">
        <v>780000</v>
      </c>
      <c r="P65" s="205">
        <v>780000</v>
      </c>
      <c r="Q65" s="205">
        <v>780000</v>
      </c>
    </row>
    <row r="66" spans="1:17">
      <c r="A66" s="129" t="s">
        <v>203</v>
      </c>
      <c r="B66" s="126" t="s">
        <v>197</v>
      </c>
      <c r="C66" s="125">
        <v>12</v>
      </c>
      <c r="D66" s="125">
        <v>17</v>
      </c>
      <c r="E66" s="125">
        <v>14</v>
      </c>
      <c r="F66" s="245" t="s">
        <v>256</v>
      </c>
      <c r="G66" s="319">
        <v>0</v>
      </c>
      <c r="H66" s="319"/>
      <c r="I66" s="319" t="s">
        <v>1</v>
      </c>
      <c r="J66" s="319" t="s">
        <v>1</v>
      </c>
      <c r="K66" s="319" t="s">
        <v>1</v>
      </c>
      <c r="L66" s="236"/>
      <c r="M66" s="236"/>
      <c r="N66" s="235"/>
      <c r="O66" s="205"/>
      <c r="P66" s="205"/>
      <c r="Q66" s="205"/>
    </row>
    <row r="67" spans="1:17" ht="13.5" thickBot="1">
      <c r="A67" s="129" t="s">
        <v>203</v>
      </c>
      <c r="B67" s="126" t="s">
        <v>197</v>
      </c>
      <c r="C67" s="125">
        <v>12</v>
      </c>
      <c r="D67" s="125">
        <v>99</v>
      </c>
      <c r="E67" s="125">
        <v>99</v>
      </c>
      <c r="F67" s="245" t="s">
        <v>192</v>
      </c>
      <c r="G67" s="319">
        <v>275000</v>
      </c>
      <c r="H67" s="319">
        <v>500000</v>
      </c>
      <c r="I67" s="319">
        <v>1396414.9</v>
      </c>
      <c r="J67" s="319">
        <v>500000</v>
      </c>
      <c r="K67" s="319">
        <f t="shared" si="12"/>
        <v>0</v>
      </c>
      <c r="L67" s="236"/>
      <c r="M67" s="236"/>
      <c r="N67" s="235"/>
      <c r="O67" s="205">
        <f>10500+485000</f>
        <v>495500</v>
      </c>
      <c r="P67" s="205">
        <f>500000+10000</f>
        <v>510000</v>
      </c>
      <c r="Q67" s="205">
        <f>500000+10000</f>
        <v>510000</v>
      </c>
    </row>
    <row r="68" spans="1:17" s="123" customFormat="1" ht="13.5" thickBot="1">
      <c r="A68" s="130"/>
      <c r="B68" s="131"/>
      <c r="C68" s="128"/>
      <c r="D68" s="128"/>
      <c r="E68" s="128"/>
      <c r="F68" s="499" t="s">
        <v>264</v>
      </c>
      <c r="G68" s="497">
        <f>SUM(G65:G67)</f>
        <v>300000</v>
      </c>
      <c r="H68" s="322">
        <f>SUM(H65:H67)</f>
        <v>1100000</v>
      </c>
      <c r="I68" s="322">
        <f>SUM(I65:I67)</f>
        <v>1396414.9</v>
      </c>
      <c r="J68" s="322">
        <f>SUM(J65:J67)</f>
        <v>1280000</v>
      </c>
      <c r="K68" s="322">
        <f t="shared" ref="K68:N68" si="13">SUM(K66:K67)</f>
        <v>0</v>
      </c>
      <c r="L68" s="239">
        <f t="shared" si="13"/>
        <v>0</v>
      </c>
      <c r="M68" s="239">
        <f t="shared" si="13"/>
        <v>0</v>
      </c>
      <c r="N68" s="254">
        <f t="shared" si="13"/>
        <v>0</v>
      </c>
      <c r="O68" s="239">
        <f>SUM(O65:O67)</f>
        <v>1275500</v>
      </c>
      <c r="P68" s="239">
        <f t="shared" ref="P68:Q68" si="14">SUM(P65:P67)</f>
        <v>1290000</v>
      </c>
      <c r="Q68" s="239">
        <f t="shared" si="14"/>
        <v>1290000</v>
      </c>
    </row>
    <row r="69" spans="1:17">
      <c r="A69" s="129"/>
      <c r="B69" s="126"/>
      <c r="F69" s="245"/>
      <c r="G69" s="328"/>
      <c r="H69" s="319"/>
      <c r="I69" s="319" t="s">
        <v>1</v>
      </c>
      <c r="J69" s="319"/>
      <c r="K69" s="319"/>
      <c r="L69" s="236"/>
      <c r="M69" s="236"/>
      <c r="N69" s="235"/>
      <c r="O69" s="205"/>
      <c r="P69" s="205"/>
      <c r="Q69" s="205"/>
    </row>
    <row r="70" spans="1:17" s="409" customFormat="1">
      <c r="A70" s="404"/>
      <c r="B70" s="224"/>
      <c r="C70" s="224"/>
      <c r="D70" s="224"/>
      <c r="E70" s="224"/>
      <c r="F70" s="246" t="s">
        <v>265</v>
      </c>
      <c r="G70" s="452"/>
      <c r="H70" s="405"/>
      <c r="I70" s="405" t="s">
        <v>1</v>
      </c>
      <c r="J70" s="405"/>
      <c r="K70" s="405"/>
      <c r="L70" s="406">
        <f>SUM(J70:J70)</f>
        <v>0</v>
      </c>
      <c r="M70" s="406" t="e">
        <f>#REF!-#REF!</f>
        <v>#REF!</v>
      </c>
      <c r="N70" s="407"/>
      <c r="O70" s="408"/>
      <c r="P70" s="408"/>
      <c r="Q70" s="408"/>
    </row>
    <row r="71" spans="1:17">
      <c r="A71" s="129" t="s">
        <v>203</v>
      </c>
      <c r="B71" s="125">
        <v>204</v>
      </c>
      <c r="C71" s="125">
        <v>12</v>
      </c>
      <c r="D71" s="126" t="s">
        <v>201</v>
      </c>
      <c r="E71" s="125">
        <v>15</v>
      </c>
      <c r="F71" s="245" t="s">
        <v>206</v>
      </c>
      <c r="G71" s="319">
        <v>8600000</v>
      </c>
      <c r="H71" s="319">
        <v>890000</v>
      </c>
      <c r="I71" s="319" t="s">
        <v>1</v>
      </c>
      <c r="J71" s="319">
        <v>15000000</v>
      </c>
      <c r="K71" s="319">
        <f t="shared" ref="K71:K72" si="15">J71-H71</f>
        <v>14110000</v>
      </c>
      <c r="L71" s="236">
        <f>SUM(J71:J71)</f>
        <v>15000000</v>
      </c>
      <c r="M71" s="236" t="e">
        <f>#REF!-#REF!</f>
        <v>#REF!</v>
      </c>
      <c r="N71" s="235"/>
      <c r="O71" s="205"/>
      <c r="P71" s="205"/>
      <c r="Q71" s="205"/>
    </row>
    <row r="72" spans="1:17" ht="13.5" thickBot="1">
      <c r="A72" s="129" t="s">
        <v>203</v>
      </c>
      <c r="B72" s="125">
        <v>204</v>
      </c>
      <c r="C72" s="125">
        <v>12</v>
      </c>
      <c r="D72" s="125">
        <v>99</v>
      </c>
      <c r="E72" s="125">
        <v>99</v>
      </c>
      <c r="F72" s="245" t="s">
        <v>192</v>
      </c>
      <c r="G72" s="319">
        <v>65000</v>
      </c>
      <c r="H72" s="319">
        <v>205000</v>
      </c>
      <c r="I72" s="319">
        <v>6085028.5199999996</v>
      </c>
      <c r="J72" s="319">
        <v>600000</v>
      </c>
      <c r="K72" s="319">
        <f t="shared" si="15"/>
        <v>395000</v>
      </c>
      <c r="L72" s="236">
        <f>SUM(L55:L71)</f>
        <v>25011000</v>
      </c>
      <c r="M72" s="236" t="e">
        <f>SUM(M55:M71)</f>
        <v>#REF!</v>
      </c>
      <c r="N72" s="235"/>
      <c r="O72" s="205"/>
      <c r="P72" s="205"/>
      <c r="Q72" s="205"/>
    </row>
    <row r="73" spans="1:17" s="123" customFormat="1" ht="13.5" thickBot="1">
      <c r="A73" s="127"/>
      <c r="B73" s="128"/>
      <c r="C73" s="128"/>
      <c r="D73" s="128"/>
      <c r="E73" s="128"/>
      <c r="F73" s="499" t="s">
        <v>266</v>
      </c>
      <c r="G73" s="497">
        <f>SUM(G71:G72)</f>
        <v>8665000</v>
      </c>
      <c r="H73" s="322">
        <f>SUM(H71:H72)</f>
        <v>1095000</v>
      </c>
      <c r="I73" s="322">
        <f>SUM(I71:I72)</f>
        <v>6085028.5199999996</v>
      </c>
      <c r="J73" s="322">
        <f t="shared" ref="J73" si="16">SUM(J71:J72)</f>
        <v>15600000</v>
      </c>
      <c r="K73" s="322">
        <f t="shared" ref="K73:Q73" si="17">SUM(K71:K72)</f>
        <v>14505000</v>
      </c>
      <c r="L73" s="239">
        <f t="shared" si="17"/>
        <v>40011000</v>
      </c>
      <c r="M73" s="239" t="e">
        <f t="shared" si="17"/>
        <v>#REF!</v>
      </c>
      <c r="N73" s="254">
        <f t="shared" si="17"/>
        <v>0</v>
      </c>
      <c r="O73" s="239">
        <f t="shared" si="17"/>
        <v>0</v>
      </c>
      <c r="P73" s="239">
        <f t="shared" si="17"/>
        <v>0</v>
      </c>
      <c r="Q73" s="239">
        <f t="shared" si="17"/>
        <v>0</v>
      </c>
    </row>
    <row r="74" spans="1:17">
      <c r="F74" s="245"/>
      <c r="G74" s="328"/>
      <c r="H74" s="319"/>
      <c r="I74" s="319" t="s">
        <v>1</v>
      </c>
      <c r="J74" s="319"/>
      <c r="K74" s="319"/>
      <c r="L74" s="236"/>
      <c r="M74" s="236"/>
      <c r="N74" s="235"/>
      <c r="O74" s="205"/>
      <c r="P74" s="205"/>
      <c r="Q74" s="205"/>
    </row>
    <row r="75" spans="1:17">
      <c r="F75" s="244" t="s">
        <v>37</v>
      </c>
      <c r="G75" s="328"/>
      <c r="H75" s="319"/>
      <c r="I75" s="319" t="s">
        <v>1</v>
      </c>
      <c r="J75" s="319"/>
      <c r="K75" s="319"/>
      <c r="L75" s="236"/>
      <c r="M75" s="236"/>
      <c r="N75" s="235"/>
      <c r="O75" s="205"/>
      <c r="P75" s="205"/>
      <c r="Q75" s="205"/>
    </row>
    <row r="76" spans="1:17">
      <c r="A76" s="129">
        <v>16000</v>
      </c>
      <c r="B76" s="126" t="s">
        <v>197</v>
      </c>
      <c r="C76" s="125">
        <v>12</v>
      </c>
      <c r="D76" s="125">
        <v>17</v>
      </c>
      <c r="E76" s="125">
        <v>14</v>
      </c>
      <c r="F76" s="245" t="s">
        <v>256</v>
      </c>
      <c r="G76" s="319">
        <v>8000</v>
      </c>
      <c r="H76" s="319"/>
      <c r="I76" s="319" t="s">
        <v>1</v>
      </c>
      <c r="J76" s="319">
        <v>3000</v>
      </c>
      <c r="K76" s="319">
        <f t="shared" ref="K76:K77" si="18">J76-H76</f>
        <v>3000</v>
      </c>
      <c r="L76" s="236"/>
      <c r="M76" s="236"/>
      <c r="N76" s="235"/>
      <c r="O76" s="205">
        <v>3000</v>
      </c>
      <c r="P76" s="205">
        <v>3000</v>
      </c>
      <c r="Q76" s="205">
        <v>3000</v>
      </c>
    </row>
    <row r="77" spans="1:17" ht="13.5" thickBot="1">
      <c r="A77" s="129">
        <v>16000</v>
      </c>
      <c r="B77" s="126" t="s">
        <v>197</v>
      </c>
      <c r="C77" s="125">
        <v>12</v>
      </c>
      <c r="D77" s="125">
        <v>99</v>
      </c>
      <c r="E77" s="125">
        <v>99</v>
      </c>
      <c r="F77" s="245" t="s">
        <v>192</v>
      </c>
      <c r="G77" s="319">
        <v>22000</v>
      </c>
      <c r="H77" s="319">
        <v>50000</v>
      </c>
      <c r="I77" s="319">
        <v>254807.56</v>
      </c>
      <c r="J77" s="319">
        <f>12000+58000</f>
        <v>70000</v>
      </c>
      <c r="K77" s="319">
        <f t="shared" si="18"/>
        <v>20000</v>
      </c>
      <c r="L77" s="236"/>
      <c r="M77" s="236"/>
      <c r="N77" s="235"/>
      <c r="O77" s="205">
        <v>12000</v>
      </c>
      <c r="P77" s="205">
        <v>12000</v>
      </c>
      <c r="Q77" s="205">
        <v>12000</v>
      </c>
    </row>
    <row r="78" spans="1:17" s="128" customFormat="1" ht="13.5" thickBot="1">
      <c r="A78" s="130"/>
      <c r="B78" s="131"/>
      <c r="F78" s="499" t="s">
        <v>268</v>
      </c>
      <c r="G78" s="497">
        <f>SUM(G76:G77)</f>
        <v>30000</v>
      </c>
      <c r="H78" s="322">
        <f>SUM(H76:H77)</f>
        <v>50000</v>
      </c>
      <c r="I78" s="322">
        <f>SUM(I76:I77)</f>
        <v>254807.56</v>
      </c>
      <c r="J78" s="322">
        <f t="shared" ref="J78" si="19">SUM(J76:J77)</f>
        <v>73000</v>
      </c>
      <c r="K78" s="322">
        <f t="shared" ref="K78:Q78" si="20">SUM(K76:K77)</f>
        <v>23000</v>
      </c>
      <c r="L78" s="239">
        <f t="shared" si="20"/>
        <v>0</v>
      </c>
      <c r="M78" s="239">
        <f t="shared" si="20"/>
        <v>0</v>
      </c>
      <c r="N78" s="254">
        <f t="shared" si="20"/>
        <v>0</v>
      </c>
      <c r="O78" s="239">
        <f t="shared" si="20"/>
        <v>15000</v>
      </c>
      <c r="P78" s="239">
        <f t="shared" si="20"/>
        <v>15000</v>
      </c>
      <c r="Q78" s="239">
        <f t="shared" si="20"/>
        <v>15000</v>
      </c>
    </row>
    <row r="79" spans="1:17">
      <c r="A79" s="129"/>
      <c r="B79" s="126"/>
      <c r="F79" s="245"/>
      <c r="G79" s="328"/>
      <c r="H79" s="319"/>
      <c r="I79" s="319" t="s">
        <v>1</v>
      </c>
      <c r="J79" s="319"/>
      <c r="K79" s="319"/>
      <c r="L79" s="236"/>
      <c r="M79" s="236"/>
      <c r="N79" s="235"/>
      <c r="O79" s="205"/>
      <c r="P79" s="205"/>
      <c r="Q79" s="205"/>
    </row>
    <row r="80" spans="1:17">
      <c r="A80" s="124" t="s">
        <v>474</v>
      </c>
      <c r="F80" s="244" t="s">
        <v>267</v>
      </c>
      <c r="G80" s="328"/>
      <c r="H80" s="319"/>
      <c r="I80" s="319" t="s">
        <v>1</v>
      </c>
      <c r="J80" s="319"/>
      <c r="K80" s="319"/>
      <c r="L80" s="236"/>
      <c r="M80" s="236"/>
      <c r="N80" s="235"/>
      <c r="O80" s="205"/>
      <c r="P80" s="205"/>
      <c r="Q80" s="205"/>
    </row>
    <row r="81" spans="1:17">
      <c r="A81" s="124">
        <v>17000</v>
      </c>
      <c r="B81" s="126" t="s">
        <v>197</v>
      </c>
      <c r="C81" s="125">
        <v>12</v>
      </c>
      <c r="D81" s="125">
        <v>17</v>
      </c>
      <c r="E81" s="125">
        <v>14</v>
      </c>
      <c r="F81" s="245" t="s">
        <v>256</v>
      </c>
      <c r="G81" s="319">
        <v>5000</v>
      </c>
      <c r="H81" s="319"/>
      <c r="I81" s="319" t="s">
        <v>1</v>
      </c>
      <c r="J81" s="319"/>
      <c r="K81" s="319">
        <f t="shared" ref="K81:K83" si="21">J81-H81</f>
        <v>0</v>
      </c>
      <c r="L81" s="236"/>
      <c r="M81" s="236"/>
      <c r="N81" s="235"/>
      <c r="O81" s="205" t="s">
        <v>1</v>
      </c>
      <c r="P81" s="205" t="s">
        <v>1</v>
      </c>
      <c r="Q81" s="205"/>
    </row>
    <row r="82" spans="1:17">
      <c r="A82" s="124">
        <v>17000</v>
      </c>
      <c r="B82" s="126" t="s">
        <v>197</v>
      </c>
      <c r="C82" s="125">
        <v>12</v>
      </c>
      <c r="D82" s="125">
        <v>99</v>
      </c>
      <c r="E82" s="125">
        <v>99</v>
      </c>
      <c r="F82" s="245" t="s">
        <v>192</v>
      </c>
      <c r="G82" s="319">
        <v>325000</v>
      </c>
      <c r="H82" s="319">
        <v>20000</v>
      </c>
      <c r="I82" s="319">
        <v>588758</v>
      </c>
      <c r="J82" s="319">
        <v>49000</v>
      </c>
      <c r="K82" s="319">
        <f t="shared" si="21"/>
        <v>29000</v>
      </c>
      <c r="L82" s="236"/>
      <c r="M82" s="236"/>
      <c r="N82" s="235"/>
      <c r="O82" s="205">
        <v>29000</v>
      </c>
      <c r="P82" s="205">
        <v>29000</v>
      </c>
      <c r="Q82" s="205">
        <v>29000</v>
      </c>
    </row>
    <row r="83" spans="1:17" ht="13.5" thickBot="1">
      <c r="A83" s="124">
        <v>17000</v>
      </c>
      <c r="B83" s="126" t="s">
        <v>197</v>
      </c>
      <c r="C83" s="125">
        <v>12</v>
      </c>
      <c r="F83" s="245" t="s">
        <v>512</v>
      </c>
      <c r="G83" s="319">
        <v>8425300169</v>
      </c>
      <c r="H83" s="319">
        <v>8531404594</v>
      </c>
      <c r="I83" s="319">
        <v>1585036963.98</v>
      </c>
      <c r="J83" s="319">
        <v>3693867977.8600001</v>
      </c>
      <c r="K83" s="319">
        <f t="shared" si="21"/>
        <v>-4837536616.1399994</v>
      </c>
      <c r="L83" s="236"/>
      <c r="M83" s="236"/>
      <c r="N83" s="235"/>
      <c r="O83" s="205"/>
      <c r="P83" s="205"/>
      <c r="Q83" s="205"/>
    </row>
    <row r="84" spans="1:17" s="128" customFormat="1" ht="13.5" thickBot="1">
      <c r="A84" s="127"/>
      <c r="F84" s="499" t="s">
        <v>269</v>
      </c>
      <c r="G84" s="498">
        <f>SUM(G81:G83)</f>
        <v>8425630169</v>
      </c>
      <c r="H84" s="453">
        <f t="shared" ref="H84:I84" si="22">SUM(H81:H83)</f>
        <v>8531424594</v>
      </c>
      <c r="I84" s="453">
        <f t="shared" si="22"/>
        <v>1585625721.98</v>
      </c>
      <c r="J84" s="453">
        <f t="shared" ref="J84" si="23">SUM(J81:J83)</f>
        <v>3693916977.8600001</v>
      </c>
      <c r="K84" s="453">
        <f t="shared" ref="K84:P84" si="24">SUM(K81:K83)</f>
        <v>-4837507616.1399994</v>
      </c>
      <c r="L84" s="454">
        <f t="shared" si="24"/>
        <v>0</v>
      </c>
      <c r="M84" s="454">
        <f t="shared" si="24"/>
        <v>0</v>
      </c>
      <c r="N84" s="455">
        <f t="shared" si="24"/>
        <v>0</v>
      </c>
      <c r="O84" s="454">
        <f t="shared" si="24"/>
        <v>29000</v>
      </c>
      <c r="P84" s="454">
        <f t="shared" si="24"/>
        <v>29000</v>
      </c>
      <c r="Q84" s="454">
        <f>SUM(Q81:Q83)</f>
        <v>29000</v>
      </c>
    </row>
    <row r="85" spans="1:17">
      <c r="F85" s="245"/>
      <c r="G85" s="328"/>
      <c r="H85" s="319"/>
      <c r="I85" s="319" t="s">
        <v>1</v>
      </c>
      <c r="J85" s="319"/>
      <c r="K85" s="319"/>
      <c r="L85" s="236"/>
      <c r="M85" s="236"/>
      <c r="N85" s="235"/>
      <c r="O85" s="205"/>
      <c r="P85" s="205"/>
      <c r="Q85" s="205"/>
    </row>
    <row r="86" spans="1:17" ht="25.5">
      <c r="F86" s="244" t="s">
        <v>353</v>
      </c>
      <c r="G86" s="328"/>
      <c r="H86" s="319"/>
      <c r="I86" s="319" t="s">
        <v>1</v>
      </c>
      <c r="J86" s="319"/>
      <c r="K86" s="319"/>
      <c r="L86" s="236"/>
      <c r="M86" s="236"/>
      <c r="N86" s="235"/>
      <c r="O86" s="205"/>
      <c r="P86" s="205"/>
      <c r="Q86" s="205"/>
    </row>
    <row r="87" spans="1:17" ht="13.5" thickBot="1">
      <c r="A87" s="124">
        <v>19000</v>
      </c>
      <c r="B87" s="126" t="s">
        <v>197</v>
      </c>
      <c r="C87" s="125">
        <v>12</v>
      </c>
      <c r="D87" s="125">
        <v>99</v>
      </c>
      <c r="E87" s="125">
        <v>99</v>
      </c>
      <c r="F87" s="245" t="s">
        <v>192</v>
      </c>
      <c r="G87" s="319">
        <v>598820</v>
      </c>
      <c r="H87" s="319">
        <v>663913</v>
      </c>
      <c r="I87" s="319">
        <v>3686213.19</v>
      </c>
      <c r="J87" s="319">
        <f>604170+2000000</f>
        <v>2604170</v>
      </c>
      <c r="K87" s="319">
        <f t="shared" ref="K87" si="25">J87-H87</f>
        <v>1940257</v>
      </c>
      <c r="L87" s="236"/>
      <c r="M87" s="236"/>
      <c r="N87" s="235"/>
      <c r="O87" s="205"/>
      <c r="P87" s="205"/>
      <c r="Q87" s="205"/>
    </row>
    <row r="88" spans="1:17" s="128" customFormat="1" ht="26.25" thickBot="1">
      <c r="A88" s="127"/>
      <c r="F88" s="499" t="s">
        <v>354</v>
      </c>
      <c r="G88" s="497">
        <f>SUM(G87)</f>
        <v>598820</v>
      </c>
      <c r="H88" s="322">
        <f>SUM(H87)</f>
        <v>663913</v>
      </c>
      <c r="I88" s="322">
        <f>SUM(I87)</f>
        <v>3686213.19</v>
      </c>
      <c r="J88" s="322">
        <f t="shared" ref="J88" si="26">SUM(J87)</f>
        <v>2604170</v>
      </c>
      <c r="K88" s="322">
        <f t="shared" ref="K88:Q88" si="27">SUM(K87)</f>
        <v>1940257</v>
      </c>
      <c r="L88" s="239">
        <f t="shared" si="27"/>
        <v>0</v>
      </c>
      <c r="M88" s="239">
        <f t="shared" si="27"/>
        <v>0</v>
      </c>
      <c r="N88" s="254">
        <f t="shared" si="27"/>
        <v>0</v>
      </c>
      <c r="O88" s="239">
        <f t="shared" si="27"/>
        <v>0</v>
      </c>
      <c r="P88" s="239">
        <f t="shared" si="27"/>
        <v>0</v>
      </c>
      <c r="Q88" s="239">
        <f t="shared" si="27"/>
        <v>0</v>
      </c>
    </row>
    <row r="89" spans="1:17">
      <c r="F89" s="245"/>
      <c r="G89" s="328"/>
      <c r="H89" s="319"/>
      <c r="I89" s="319" t="s">
        <v>1</v>
      </c>
      <c r="J89" s="319"/>
      <c r="K89" s="319"/>
      <c r="L89" s="236"/>
      <c r="M89" s="236"/>
      <c r="N89" s="235"/>
      <c r="O89" s="205"/>
      <c r="P89" s="205"/>
      <c r="Q89" s="205"/>
    </row>
    <row r="90" spans="1:17">
      <c r="F90" s="244" t="s">
        <v>135</v>
      </c>
      <c r="G90" s="328"/>
      <c r="H90" s="319"/>
      <c r="I90" s="319" t="s">
        <v>1</v>
      </c>
      <c r="J90" s="319"/>
      <c r="K90" s="319"/>
      <c r="L90" s="236"/>
      <c r="M90" s="236"/>
      <c r="N90" s="235"/>
      <c r="O90" s="205"/>
      <c r="P90" s="205"/>
      <c r="Q90" s="205"/>
    </row>
    <row r="91" spans="1:17">
      <c r="A91" s="124">
        <v>19046</v>
      </c>
      <c r="B91" s="126" t="s">
        <v>197</v>
      </c>
      <c r="C91" s="126" t="s">
        <v>307</v>
      </c>
      <c r="D91" s="125">
        <v>99</v>
      </c>
      <c r="E91" s="125">
        <v>11</v>
      </c>
      <c r="F91" s="245" t="s">
        <v>136</v>
      </c>
      <c r="G91" s="328">
        <v>0</v>
      </c>
      <c r="H91" s="319">
        <v>0</v>
      </c>
      <c r="I91" s="319" t="s">
        <v>1</v>
      </c>
      <c r="J91" s="319"/>
      <c r="K91" s="319"/>
      <c r="L91" s="236"/>
      <c r="M91" s="236"/>
      <c r="N91" s="235"/>
      <c r="O91" s="205"/>
      <c r="P91" s="205"/>
      <c r="Q91" s="205"/>
    </row>
    <row r="92" spans="1:17">
      <c r="A92" s="124">
        <v>19046</v>
      </c>
      <c r="B92" s="126" t="s">
        <v>197</v>
      </c>
      <c r="C92" s="125">
        <v>12</v>
      </c>
      <c r="D92" s="125">
        <v>99</v>
      </c>
      <c r="E92" s="125">
        <v>12</v>
      </c>
      <c r="F92" s="245" t="s">
        <v>306</v>
      </c>
      <c r="G92" s="331">
        <v>0</v>
      </c>
      <c r="H92" s="319">
        <v>0</v>
      </c>
      <c r="I92" s="319" t="s">
        <v>1</v>
      </c>
      <c r="J92" s="319"/>
      <c r="K92" s="319"/>
      <c r="L92" s="236"/>
      <c r="M92" s="236"/>
      <c r="N92" s="235"/>
      <c r="O92" s="205"/>
      <c r="P92" s="205"/>
      <c r="Q92" s="205"/>
    </row>
    <row r="93" spans="1:17" ht="13.5" thickBot="1">
      <c r="A93" s="124">
        <v>19046</v>
      </c>
      <c r="B93" s="126" t="s">
        <v>197</v>
      </c>
      <c r="C93" s="125">
        <v>12</v>
      </c>
      <c r="D93" s="125">
        <v>99</v>
      </c>
      <c r="E93" s="125">
        <v>99</v>
      </c>
      <c r="F93" s="245" t="s">
        <v>192</v>
      </c>
      <c r="G93" s="328">
        <v>188162.79</v>
      </c>
      <c r="H93" s="319">
        <v>0</v>
      </c>
      <c r="I93" s="319">
        <v>12922696.52</v>
      </c>
      <c r="J93" s="319">
        <f>2000000</f>
        <v>2000000</v>
      </c>
      <c r="K93" s="319">
        <f t="shared" ref="K93" si="28">J93-H93</f>
        <v>2000000</v>
      </c>
      <c r="L93" s="236"/>
      <c r="M93" s="236"/>
      <c r="N93" s="235"/>
      <c r="O93" s="205">
        <v>2000000</v>
      </c>
      <c r="P93" s="205">
        <v>2000000</v>
      </c>
      <c r="Q93" s="205">
        <v>2000000</v>
      </c>
    </row>
    <row r="94" spans="1:17" s="128" customFormat="1" ht="13.5" thickBot="1">
      <c r="A94" s="127"/>
      <c r="B94" s="131"/>
      <c r="F94" s="499" t="s">
        <v>308</v>
      </c>
      <c r="G94" s="497">
        <f>SUM(G91:G93)</f>
        <v>188162.79</v>
      </c>
      <c r="H94" s="322">
        <f>SUM(H91:H93)</f>
        <v>0</v>
      </c>
      <c r="I94" s="322">
        <f>SUM(I91:I93)</f>
        <v>12922696.52</v>
      </c>
      <c r="J94" s="322">
        <f t="shared" ref="J94" si="29">SUM(J91:J93)</f>
        <v>2000000</v>
      </c>
      <c r="K94" s="322">
        <f t="shared" ref="K94:P94" si="30">SUM(K91:K93)</f>
        <v>2000000</v>
      </c>
      <c r="L94" s="239">
        <f t="shared" si="30"/>
        <v>0</v>
      </c>
      <c r="M94" s="239">
        <f t="shared" si="30"/>
        <v>0</v>
      </c>
      <c r="N94" s="254">
        <f t="shared" si="30"/>
        <v>0</v>
      </c>
      <c r="O94" s="239">
        <f t="shared" si="30"/>
        <v>2000000</v>
      </c>
      <c r="P94" s="239">
        <f t="shared" si="30"/>
        <v>2000000</v>
      </c>
      <c r="Q94" s="239">
        <f>SUM(Q91:Q93)</f>
        <v>2000000</v>
      </c>
    </row>
    <row r="95" spans="1:17">
      <c r="B95" s="126"/>
      <c r="F95" s="245"/>
      <c r="G95" s="328"/>
      <c r="H95" s="319"/>
      <c r="I95" s="319" t="s">
        <v>1</v>
      </c>
      <c r="J95" s="319"/>
      <c r="K95" s="319"/>
      <c r="L95" s="236"/>
      <c r="M95" s="236"/>
      <c r="N95" s="235"/>
      <c r="O95" s="205"/>
      <c r="P95" s="205"/>
      <c r="Q95" s="205"/>
    </row>
    <row r="96" spans="1:17">
      <c r="F96" s="244" t="s">
        <v>127</v>
      </c>
      <c r="G96" s="328"/>
      <c r="H96" s="319"/>
      <c r="I96" s="319" t="s">
        <v>1</v>
      </c>
      <c r="J96" s="319"/>
      <c r="K96" s="319"/>
      <c r="L96" s="236"/>
      <c r="M96" s="236"/>
      <c r="N96" s="235"/>
      <c r="O96" s="205"/>
      <c r="P96" s="205"/>
      <c r="Q96" s="205"/>
    </row>
    <row r="97" spans="1:17">
      <c r="A97" s="124">
        <v>19047</v>
      </c>
      <c r="B97" s="126" t="s">
        <v>197</v>
      </c>
      <c r="C97" s="125">
        <v>12</v>
      </c>
      <c r="D97" s="125">
        <v>99</v>
      </c>
      <c r="E97" s="125">
        <v>99</v>
      </c>
      <c r="F97" s="261" t="s">
        <v>528</v>
      </c>
      <c r="G97" s="328"/>
      <c r="H97" s="319"/>
      <c r="I97" s="319">
        <v>192538481</v>
      </c>
      <c r="J97" s="319"/>
      <c r="K97" s="319"/>
      <c r="L97" s="236"/>
      <c r="M97" s="236"/>
      <c r="N97" s="235"/>
      <c r="O97" s="205"/>
      <c r="P97" s="205"/>
      <c r="Q97" s="205"/>
    </row>
    <row r="98" spans="1:17">
      <c r="A98" s="124">
        <v>19047</v>
      </c>
      <c r="B98" s="126" t="s">
        <v>197</v>
      </c>
      <c r="C98" s="125">
        <v>12</v>
      </c>
      <c r="D98" s="125">
        <v>17</v>
      </c>
      <c r="E98" s="125">
        <v>28</v>
      </c>
      <c r="F98" s="245" t="s">
        <v>529</v>
      </c>
      <c r="G98" s="319">
        <v>38401000</v>
      </c>
      <c r="H98" s="319">
        <v>53532000</v>
      </c>
      <c r="I98" s="319" t="s">
        <v>1</v>
      </c>
      <c r="J98" s="319"/>
      <c r="K98" s="319"/>
      <c r="L98" s="236"/>
      <c r="M98" s="236"/>
      <c r="N98" s="235"/>
      <c r="O98" s="205"/>
      <c r="P98" s="205"/>
      <c r="Q98" s="205"/>
    </row>
    <row r="99" spans="1:17">
      <c r="A99" s="124">
        <v>19047</v>
      </c>
      <c r="B99" s="126" t="s">
        <v>197</v>
      </c>
      <c r="C99" s="125">
        <v>12</v>
      </c>
      <c r="D99" s="125">
        <v>10</v>
      </c>
      <c r="E99" s="126" t="s">
        <v>208</v>
      </c>
      <c r="F99" s="264" t="s">
        <v>129</v>
      </c>
      <c r="G99" s="319">
        <v>156000000</v>
      </c>
      <c r="H99" s="319">
        <v>143000000</v>
      </c>
      <c r="I99" s="319" t="s">
        <v>1</v>
      </c>
      <c r="J99" s="319">
        <v>196000000</v>
      </c>
      <c r="K99" s="319">
        <f t="shared" ref="K99:K104" si="31">J99-H99</f>
        <v>53000000</v>
      </c>
      <c r="L99" s="236"/>
      <c r="M99" s="236"/>
      <c r="N99" s="235"/>
      <c r="O99" s="205">
        <v>199000000</v>
      </c>
      <c r="P99" s="205">
        <v>201000000</v>
      </c>
      <c r="Q99" s="205">
        <v>205000000</v>
      </c>
    </row>
    <row r="100" spans="1:17">
      <c r="A100" s="124">
        <v>19047</v>
      </c>
      <c r="B100" s="126" t="s">
        <v>197</v>
      </c>
      <c r="C100" s="125">
        <v>12</v>
      </c>
      <c r="D100" s="125">
        <v>10</v>
      </c>
      <c r="E100" s="126" t="s">
        <v>222</v>
      </c>
      <c r="F100" s="245" t="s">
        <v>130</v>
      </c>
      <c r="G100" s="319">
        <v>25754000</v>
      </c>
      <c r="H100" s="319">
        <v>33000000</v>
      </c>
      <c r="I100" s="319">
        <v>75933913.689999998</v>
      </c>
      <c r="J100" s="319">
        <v>24300000</v>
      </c>
      <c r="K100" s="319">
        <f t="shared" si="31"/>
        <v>-8700000</v>
      </c>
      <c r="L100" s="236"/>
      <c r="M100" s="236"/>
      <c r="N100" s="235"/>
      <c r="O100" s="205">
        <v>24700000</v>
      </c>
      <c r="P100" s="205">
        <v>25100000</v>
      </c>
      <c r="Q100" s="205"/>
    </row>
    <row r="101" spans="1:17">
      <c r="A101" s="124">
        <v>19047</v>
      </c>
      <c r="B101" s="126" t="s">
        <v>197</v>
      </c>
      <c r="C101" s="125">
        <v>12</v>
      </c>
      <c r="D101" s="125">
        <v>10</v>
      </c>
      <c r="E101" s="126" t="s">
        <v>210</v>
      </c>
      <c r="F101" s="245" t="s">
        <v>131</v>
      </c>
      <c r="G101" s="319">
        <v>0</v>
      </c>
      <c r="H101" s="319"/>
      <c r="I101" s="319">
        <v>3918381.19</v>
      </c>
      <c r="J101" s="319"/>
      <c r="K101" s="319">
        <f t="shared" si="31"/>
        <v>0</v>
      </c>
      <c r="L101" s="236"/>
      <c r="M101" s="236"/>
      <c r="N101" s="235"/>
      <c r="O101" s="205"/>
      <c r="P101" s="205"/>
      <c r="Q101" s="205"/>
    </row>
    <row r="102" spans="1:17">
      <c r="A102" s="124">
        <v>19047</v>
      </c>
      <c r="B102" s="126" t="s">
        <v>197</v>
      </c>
      <c r="C102" s="125">
        <v>12</v>
      </c>
      <c r="D102" s="125">
        <v>16</v>
      </c>
      <c r="E102" s="125">
        <v>11</v>
      </c>
      <c r="F102" s="245" t="s">
        <v>133</v>
      </c>
      <c r="G102" s="319">
        <v>0</v>
      </c>
      <c r="H102" s="319"/>
      <c r="I102" s="319">
        <v>7990574.5199999996</v>
      </c>
      <c r="J102" s="319"/>
      <c r="K102" s="319">
        <f t="shared" si="31"/>
        <v>0</v>
      </c>
      <c r="L102" s="236"/>
      <c r="M102" s="236"/>
      <c r="N102" s="235"/>
      <c r="O102" s="205"/>
      <c r="P102" s="205"/>
      <c r="Q102" s="205"/>
    </row>
    <row r="103" spans="1:17">
      <c r="A103" s="124">
        <v>19047</v>
      </c>
      <c r="B103" s="126" t="s">
        <v>197</v>
      </c>
      <c r="C103" s="125">
        <v>12</v>
      </c>
      <c r="D103" s="125">
        <v>99</v>
      </c>
      <c r="E103" s="125">
        <v>99</v>
      </c>
      <c r="F103" s="245" t="s">
        <v>32</v>
      </c>
      <c r="G103" s="319">
        <v>0</v>
      </c>
      <c r="H103" s="319">
        <v>6000000</v>
      </c>
      <c r="I103" s="319" t="s">
        <v>1</v>
      </c>
      <c r="J103" s="319">
        <v>1000000</v>
      </c>
      <c r="K103" s="319">
        <f t="shared" si="31"/>
        <v>-5000000</v>
      </c>
      <c r="L103" s="236"/>
      <c r="M103" s="236"/>
      <c r="N103" s="235"/>
      <c r="O103" s="205">
        <v>1015000</v>
      </c>
      <c r="P103" s="205">
        <v>2000000</v>
      </c>
      <c r="Q103" s="205">
        <v>2040000</v>
      </c>
    </row>
    <row r="104" spans="1:17" s="123" customFormat="1" ht="13.5" thickBot="1">
      <c r="A104" s="124">
        <v>19047</v>
      </c>
      <c r="B104" s="126" t="s">
        <v>197</v>
      </c>
      <c r="C104" s="125">
        <v>12</v>
      </c>
      <c r="D104" s="125">
        <v>99</v>
      </c>
      <c r="E104" s="125">
        <v>99</v>
      </c>
      <c r="F104" s="245" t="s">
        <v>520</v>
      </c>
      <c r="G104" s="319">
        <v>75400000</v>
      </c>
      <c r="H104" s="319">
        <v>85008000</v>
      </c>
      <c r="I104" s="319">
        <v>27686872.879999999</v>
      </c>
      <c r="J104" s="319">
        <v>400000000</v>
      </c>
      <c r="K104" s="319">
        <f t="shared" si="31"/>
        <v>314992000</v>
      </c>
      <c r="L104" s="313"/>
      <c r="M104" s="313"/>
      <c r="N104" s="314"/>
      <c r="O104" s="256">
        <v>340000000</v>
      </c>
      <c r="P104" s="256">
        <v>340000000</v>
      </c>
      <c r="Q104" s="256">
        <v>450000000</v>
      </c>
    </row>
    <row r="105" spans="1:17" s="123" customFormat="1" ht="13.5" thickBot="1">
      <c r="A105" s="127"/>
      <c r="B105" s="131"/>
      <c r="C105" s="128"/>
      <c r="D105" s="128"/>
      <c r="E105" s="128"/>
      <c r="F105" s="499" t="s">
        <v>128</v>
      </c>
      <c r="G105" s="497">
        <f>SUM(G97:G104)</f>
        <v>295555000</v>
      </c>
      <c r="H105" s="322">
        <f>SUM(H97:H104)</f>
        <v>320540000</v>
      </c>
      <c r="I105" s="322">
        <f>SUM(I97:I104)</f>
        <v>308068223.27999997</v>
      </c>
      <c r="J105" s="456">
        <f t="shared" ref="J105" si="32">SUM(J97:J104)</f>
        <v>621300000</v>
      </c>
      <c r="K105" s="322">
        <f t="shared" ref="K105:Q105" si="33">SUM(K97:K104)</f>
        <v>354292000</v>
      </c>
      <c r="L105" s="239">
        <f t="shared" si="33"/>
        <v>0</v>
      </c>
      <c r="M105" s="239">
        <f t="shared" si="33"/>
        <v>0</v>
      </c>
      <c r="N105" s="254">
        <f t="shared" si="33"/>
        <v>0</v>
      </c>
      <c r="O105" s="239">
        <f t="shared" si="33"/>
        <v>564715000</v>
      </c>
      <c r="P105" s="239">
        <f t="shared" si="33"/>
        <v>568100000</v>
      </c>
      <c r="Q105" s="239">
        <f t="shared" si="33"/>
        <v>657040000</v>
      </c>
    </row>
    <row r="106" spans="1:17">
      <c r="B106" s="126"/>
      <c r="F106" s="245"/>
      <c r="G106" s="328"/>
      <c r="H106" s="319"/>
      <c r="I106" s="319" t="s">
        <v>1</v>
      </c>
      <c r="J106" s="319"/>
      <c r="K106" s="319"/>
      <c r="L106" s="236"/>
      <c r="M106" s="236"/>
      <c r="N106" s="235"/>
      <c r="O106" s="205"/>
      <c r="P106" s="205"/>
      <c r="Q106" s="205"/>
    </row>
    <row r="107" spans="1:17">
      <c r="B107" s="126"/>
      <c r="F107" s="244" t="s">
        <v>487</v>
      </c>
      <c r="G107" s="328"/>
      <c r="H107" s="319"/>
      <c r="I107" s="319" t="s">
        <v>1</v>
      </c>
      <c r="J107" s="319"/>
      <c r="K107" s="319"/>
      <c r="L107" s="236"/>
      <c r="M107" s="236"/>
      <c r="N107" s="235"/>
      <c r="O107" s="205"/>
      <c r="P107" s="205"/>
      <c r="Q107" s="205"/>
    </row>
    <row r="108" spans="1:17">
      <c r="A108" s="124">
        <v>19047</v>
      </c>
      <c r="B108" s="126" t="s">
        <v>197</v>
      </c>
      <c r="C108" s="125">
        <v>12</v>
      </c>
      <c r="F108" s="245" t="s">
        <v>488</v>
      </c>
      <c r="G108" s="319">
        <v>45583929</v>
      </c>
      <c r="H108" s="319">
        <v>33272116</v>
      </c>
      <c r="I108" s="319" t="s">
        <v>1</v>
      </c>
      <c r="J108" s="319"/>
      <c r="K108" s="319">
        <f t="shared" ref="K108:K115" si="34">J108-H108</f>
        <v>-33272116</v>
      </c>
      <c r="L108" s="236"/>
      <c r="M108" s="236"/>
      <c r="N108" s="235"/>
      <c r="O108" s="205"/>
      <c r="P108" s="205"/>
      <c r="Q108" s="205"/>
    </row>
    <row r="109" spans="1:17">
      <c r="A109" s="124">
        <v>19047</v>
      </c>
      <c r="B109" s="126" t="s">
        <v>197</v>
      </c>
      <c r="C109" s="125">
        <v>12</v>
      </c>
      <c r="F109" s="245" t="s">
        <v>489</v>
      </c>
      <c r="G109" s="319">
        <v>44670000</v>
      </c>
      <c r="H109" s="319">
        <v>100200000</v>
      </c>
      <c r="I109" s="319" t="s">
        <v>1</v>
      </c>
      <c r="J109" s="319"/>
      <c r="K109" s="319">
        <f t="shared" si="34"/>
        <v>-100200000</v>
      </c>
      <c r="L109" s="236"/>
      <c r="M109" s="236"/>
      <c r="N109" s="235"/>
      <c r="O109" s="205"/>
      <c r="P109" s="205"/>
      <c r="Q109" s="205"/>
    </row>
    <row r="110" spans="1:17">
      <c r="A110" s="124">
        <v>19047</v>
      </c>
      <c r="B110" s="126" t="s">
        <v>197</v>
      </c>
      <c r="C110" s="125">
        <v>12</v>
      </c>
      <c r="F110" s="245" t="s">
        <v>496</v>
      </c>
      <c r="G110" s="319">
        <v>32440000</v>
      </c>
      <c r="H110" s="319">
        <v>35000000</v>
      </c>
      <c r="I110" s="319" t="s">
        <v>1</v>
      </c>
      <c r="J110" s="319"/>
      <c r="K110" s="319">
        <f t="shared" si="34"/>
        <v>-35000000</v>
      </c>
      <c r="L110" s="236"/>
      <c r="M110" s="236"/>
      <c r="N110" s="235"/>
      <c r="O110" s="205"/>
      <c r="P110" s="205"/>
      <c r="Q110" s="205"/>
    </row>
    <row r="111" spans="1:17">
      <c r="A111" s="124">
        <v>19047</v>
      </c>
      <c r="B111" s="126" t="s">
        <v>197</v>
      </c>
      <c r="C111" s="125">
        <v>12</v>
      </c>
      <c r="F111" s="245" t="s">
        <v>490</v>
      </c>
      <c r="G111" s="319">
        <v>11448165</v>
      </c>
      <c r="H111" s="319">
        <v>11500143</v>
      </c>
      <c r="I111" s="319" t="s">
        <v>1</v>
      </c>
      <c r="J111" s="319"/>
      <c r="K111" s="319">
        <f t="shared" si="34"/>
        <v>-11500143</v>
      </c>
      <c r="L111" s="236"/>
      <c r="M111" s="236"/>
      <c r="N111" s="235"/>
      <c r="O111" s="205"/>
      <c r="P111" s="205"/>
      <c r="Q111" s="205"/>
    </row>
    <row r="112" spans="1:17">
      <c r="A112" s="124">
        <v>19047</v>
      </c>
      <c r="B112" s="126" t="s">
        <v>197</v>
      </c>
      <c r="C112" s="125">
        <v>12</v>
      </c>
      <c r="F112" s="245" t="s">
        <v>491</v>
      </c>
      <c r="G112" s="319" t="s">
        <v>1</v>
      </c>
      <c r="H112" s="319">
        <v>8146280</v>
      </c>
      <c r="I112" s="319" t="s">
        <v>1</v>
      </c>
      <c r="J112" s="319"/>
      <c r="K112" s="319">
        <f t="shared" si="34"/>
        <v>-8146280</v>
      </c>
      <c r="L112" s="236"/>
      <c r="M112" s="236"/>
      <c r="N112" s="235"/>
      <c r="O112" s="205"/>
      <c r="P112" s="205"/>
      <c r="Q112" s="205"/>
    </row>
    <row r="113" spans="1:17">
      <c r="A113" s="124">
        <v>19047</v>
      </c>
      <c r="B113" s="126" t="s">
        <v>197</v>
      </c>
      <c r="C113" s="125">
        <v>12</v>
      </c>
      <c r="F113" s="245" t="s">
        <v>492</v>
      </c>
      <c r="G113" s="319">
        <v>1240000</v>
      </c>
      <c r="H113" s="319">
        <v>200000</v>
      </c>
      <c r="I113" s="319" t="s">
        <v>1</v>
      </c>
      <c r="J113" s="319"/>
      <c r="K113" s="319">
        <f t="shared" si="34"/>
        <v>-200000</v>
      </c>
      <c r="L113" s="236"/>
      <c r="M113" s="236"/>
      <c r="N113" s="235"/>
      <c r="O113" s="205"/>
      <c r="P113" s="205"/>
      <c r="Q113" s="205"/>
    </row>
    <row r="114" spans="1:17">
      <c r="A114" s="124">
        <v>19047</v>
      </c>
      <c r="B114" s="126" t="s">
        <v>197</v>
      </c>
      <c r="C114" s="125">
        <v>12</v>
      </c>
      <c r="F114" s="245" t="s">
        <v>493</v>
      </c>
      <c r="G114" s="319">
        <v>348750</v>
      </c>
      <c r="H114" s="319">
        <v>795000</v>
      </c>
      <c r="I114" s="319" t="s">
        <v>1</v>
      </c>
      <c r="J114" s="319"/>
      <c r="K114" s="319">
        <f t="shared" si="34"/>
        <v>-795000</v>
      </c>
      <c r="L114" s="236"/>
      <c r="M114" s="236"/>
      <c r="N114" s="235"/>
      <c r="O114" s="205"/>
      <c r="P114" s="205"/>
      <c r="Q114" s="205"/>
    </row>
    <row r="115" spans="1:17">
      <c r="A115" s="124">
        <v>19047</v>
      </c>
      <c r="B115" s="126" t="s">
        <v>197</v>
      </c>
      <c r="C115" s="125">
        <v>12</v>
      </c>
      <c r="F115" s="245" t="s">
        <v>494</v>
      </c>
      <c r="G115" s="319">
        <v>53147364</v>
      </c>
      <c r="H115" s="319">
        <v>33404684</v>
      </c>
      <c r="I115" s="319" t="s">
        <v>1</v>
      </c>
      <c r="J115" s="319"/>
      <c r="K115" s="319">
        <f t="shared" si="34"/>
        <v>-33404684</v>
      </c>
      <c r="L115" s="236"/>
      <c r="M115" s="236"/>
      <c r="N115" s="235"/>
      <c r="O115" s="205"/>
      <c r="P115" s="205"/>
      <c r="Q115" s="205"/>
    </row>
    <row r="116" spans="1:17" ht="13.5" thickBot="1">
      <c r="A116" s="124">
        <v>19047</v>
      </c>
      <c r="B116" s="126" t="s">
        <v>197</v>
      </c>
      <c r="C116" s="125">
        <v>12</v>
      </c>
      <c r="F116" s="245" t="s">
        <v>495</v>
      </c>
      <c r="G116" s="319">
        <v>7151250</v>
      </c>
      <c r="H116" s="319"/>
      <c r="I116" s="319" t="s">
        <v>1</v>
      </c>
      <c r="J116" s="319"/>
      <c r="K116" s="319"/>
      <c r="L116" s="236"/>
      <c r="M116" s="236"/>
      <c r="N116" s="235"/>
      <c r="O116" s="205"/>
      <c r="P116" s="205"/>
      <c r="Q116" s="205"/>
    </row>
    <row r="117" spans="1:17" ht="26.25" thickBot="1">
      <c r="B117" s="126"/>
      <c r="F117" s="499" t="s">
        <v>497</v>
      </c>
      <c r="G117" s="496">
        <f>SUM(G108:G116)</f>
        <v>196029458</v>
      </c>
      <c r="H117" s="449">
        <f>SUM(H108:H116)</f>
        <v>222518223</v>
      </c>
      <c r="I117" s="449">
        <f>SUM(I108:I116)</f>
        <v>0</v>
      </c>
      <c r="J117" s="449">
        <f>SUM(J108:J116)</f>
        <v>0</v>
      </c>
      <c r="K117" s="449">
        <f t="shared" ref="K117:Q117" si="35">SUM(K108:K116)</f>
        <v>-222518223</v>
      </c>
      <c r="L117" s="450">
        <f t="shared" si="35"/>
        <v>0</v>
      </c>
      <c r="M117" s="450">
        <f t="shared" si="35"/>
        <v>0</v>
      </c>
      <c r="N117" s="451">
        <f t="shared" si="35"/>
        <v>0</v>
      </c>
      <c r="O117" s="450">
        <f t="shared" si="35"/>
        <v>0</v>
      </c>
      <c r="P117" s="450">
        <f t="shared" si="35"/>
        <v>0</v>
      </c>
      <c r="Q117" s="450">
        <f t="shared" si="35"/>
        <v>0</v>
      </c>
    </row>
    <row r="118" spans="1:17">
      <c r="B118" s="126"/>
      <c r="F118" s="261"/>
      <c r="G118" s="328"/>
      <c r="H118" s="319"/>
      <c r="I118" s="319" t="s">
        <v>1</v>
      </c>
      <c r="J118" s="319" t="s">
        <v>1</v>
      </c>
      <c r="K118" s="319"/>
      <c r="L118" s="236"/>
      <c r="M118" s="236"/>
      <c r="N118" s="235"/>
      <c r="O118" s="205"/>
      <c r="P118" s="205"/>
      <c r="Q118" s="205"/>
    </row>
    <row r="119" spans="1:17">
      <c r="B119" s="126"/>
      <c r="F119" s="265" t="s">
        <v>324</v>
      </c>
      <c r="G119" s="328"/>
      <c r="H119" s="319"/>
      <c r="I119" s="319" t="s">
        <v>1</v>
      </c>
      <c r="J119" s="319"/>
      <c r="K119" s="319"/>
      <c r="L119" s="236"/>
      <c r="M119" s="236"/>
      <c r="N119" s="235"/>
      <c r="O119" s="205"/>
      <c r="P119" s="205"/>
      <c r="Q119" s="205"/>
    </row>
    <row r="120" spans="1:17" ht="25.5">
      <c r="A120" s="129" t="s">
        <v>207</v>
      </c>
      <c r="B120" s="126" t="s">
        <v>197</v>
      </c>
      <c r="C120" s="125">
        <v>12</v>
      </c>
      <c r="D120" s="126" t="s">
        <v>201</v>
      </c>
      <c r="E120" s="132">
        <v>17</v>
      </c>
      <c r="F120" s="245" t="s">
        <v>451</v>
      </c>
      <c r="G120" s="319">
        <v>338637112</v>
      </c>
      <c r="H120" s="319">
        <v>360717429</v>
      </c>
      <c r="I120" s="319">
        <v>171184093.50999999</v>
      </c>
      <c r="J120" s="319">
        <v>391527369</v>
      </c>
      <c r="K120" s="319">
        <f t="shared" ref="K120:K132" si="36">J120-H120</f>
        <v>30809940</v>
      </c>
      <c r="L120" s="236">
        <f>SUM(J120:J120)</f>
        <v>391527369</v>
      </c>
      <c r="M120" s="236" t="e">
        <f>#REF!-#REF!</f>
        <v>#REF!</v>
      </c>
      <c r="N120" s="235"/>
      <c r="O120" s="205"/>
      <c r="P120" s="205"/>
      <c r="Q120" s="205"/>
    </row>
    <row r="121" spans="1:17" ht="25.5">
      <c r="A121" s="129" t="s">
        <v>207</v>
      </c>
      <c r="B121" s="126" t="s">
        <v>197</v>
      </c>
      <c r="C121" s="125">
        <v>12</v>
      </c>
      <c r="D121" s="126" t="s">
        <v>208</v>
      </c>
      <c r="E121" s="133" t="s">
        <v>201</v>
      </c>
      <c r="F121" s="245" t="s">
        <v>325</v>
      </c>
      <c r="G121" s="319">
        <v>12487470000</v>
      </c>
      <c r="H121" s="319">
        <v>20284910000</v>
      </c>
      <c r="I121" s="319">
        <v>14731669492.17</v>
      </c>
      <c r="J121" s="319">
        <f>11400000000+5000000000+479160000</f>
        <v>16879160000</v>
      </c>
      <c r="K121" s="319">
        <f t="shared" si="36"/>
        <v>-3405750000</v>
      </c>
      <c r="L121" s="236">
        <f>SUM(J121:J121)</f>
        <v>16879160000</v>
      </c>
      <c r="M121" s="236" t="e">
        <f>#REF!-#REF!</f>
        <v>#REF!</v>
      </c>
      <c r="N121" s="235"/>
      <c r="O121" s="205"/>
      <c r="P121" s="205"/>
      <c r="Q121" s="205"/>
    </row>
    <row r="122" spans="1:17">
      <c r="A122" s="129" t="s">
        <v>207</v>
      </c>
      <c r="B122" s="126" t="s">
        <v>197</v>
      </c>
      <c r="C122" s="125">
        <v>12</v>
      </c>
      <c r="D122" s="125">
        <v>99</v>
      </c>
      <c r="E122" s="126" t="s">
        <v>216</v>
      </c>
      <c r="F122" s="245" t="s">
        <v>39</v>
      </c>
      <c r="G122" s="319">
        <v>35000000</v>
      </c>
      <c r="H122" s="319">
        <v>30900000</v>
      </c>
      <c r="I122" s="319">
        <v>160170.85999999999</v>
      </c>
      <c r="J122" s="319">
        <v>32136000</v>
      </c>
      <c r="K122" s="319">
        <f t="shared" si="36"/>
        <v>1236000</v>
      </c>
      <c r="L122" s="236"/>
      <c r="M122" s="236"/>
      <c r="N122" s="235"/>
      <c r="O122" s="205"/>
      <c r="P122" s="205"/>
      <c r="Q122" s="205"/>
    </row>
    <row r="123" spans="1:17">
      <c r="A123" s="129" t="s">
        <v>207</v>
      </c>
      <c r="B123" s="126" t="s">
        <v>197</v>
      </c>
      <c r="C123" s="125">
        <v>12</v>
      </c>
      <c r="D123" s="126" t="s">
        <v>208</v>
      </c>
      <c r="E123" s="134" t="s">
        <v>204</v>
      </c>
      <c r="F123" s="245" t="s">
        <v>38</v>
      </c>
      <c r="G123" s="319">
        <v>0</v>
      </c>
      <c r="H123" s="319"/>
      <c r="I123" s="319" t="s">
        <v>1</v>
      </c>
      <c r="J123" s="319">
        <v>33155000000</v>
      </c>
      <c r="K123" s="319">
        <f t="shared" si="36"/>
        <v>33155000000</v>
      </c>
      <c r="L123" s="236"/>
      <c r="M123" s="236"/>
      <c r="N123" s="235"/>
      <c r="O123" s="205"/>
      <c r="P123" s="205"/>
      <c r="Q123" s="205"/>
    </row>
    <row r="124" spans="1:17">
      <c r="A124" s="129" t="s">
        <v>207</v>
      </c>
      <c r="B124" s="126" t="s">
        <v>197</v>
      </c>
      <c r="C124" s="125">
        <v>12</v>
      </c>
      <c r="D124" s="125">
        <v>99</v>
      </c>
      <c r="E124" s="126" t="s">
        <v>210</v>
      </c>
      <c r="F124" s="245" t="s">
        <v>40</v>
      </c>
      <c r="G124" s="319">
        <v>1890000</v>
      </c>
      <c r="H124" s="319">
        <v>2000000</v>
      </c>
      <c r="I124" s="319">
        <v>550674.64</v>
      </c>
      <c r="J124" s="319">
        <v>2080000</v>
      </c>
      <c r="K124" s="319">
        <f t="shared" si="36"/>
        <v>80000</v>
      </c>
      <c r="L124" s="236">
        <f>SUM(L120:L122)</f>
        <v>17270687369</v>
      </c>
      <c r="M124" s="236" t="e">
        <f>SUM(M120:M121)</f>
        <v>#REF!</v>
      </c>
      <c r="N124" s="235"/>
      <c r="O124" s="205"/>
      <c r="P124" s="205"/>
      <c r="Q124" s="205"/>
    </row>
    <row r="125" spans="1:17">
      <c r="A125" s="129" t="s">
        <v>207</v>
      </c>
      <c r="B125" s="126" t="s">
        <v>197</v>
      </c>
      <c r="C125" s="125">
        <v>12</v>
      </c>
      <c r="D125" s="126" t="s">
        <v>201</v>
      </c>
      <c r="E125" s="126">
        <v>19</v>
      </c>
      <c r="F125" s="245" t="s">
        <v>326</v>
      </c>
      <c r="G125" s="319">
        <v>0</v>
      </c>
      <c r="H125" s="319"/>
      <c r="I125" s="319" t="s">
        <v>1</v>
      </c>
      <c r="J125" s="319"/>
      <c r="K125" s="319">
        <f t="shared" si="36"/>
        <v>0</v>
      </c>
      <c r="L125" s="236"/>
      <c r="M125" s="236"/>
      <c r="N125" s="235"/>
      <c r="O125" s="205"/>
      <c r="P125" s="205"/>
      <c r="Q125" s="205"/>
    </row>
    <row r="126" spans="1:17" s="409" customFormat="1">
      <c r="A126" s="410" t="s">
        <v>207</v>
      </c>
      <c r="B126" s="411" t="s">
        <v>197</v>
      </c>
      <c r="C126" s="224">
        <v>12</v>
      </c>
      <c r="D126" s="411" t="s">
        <v>209</v>
      </c>
      <c r="E126" s="224">
        <v>10</v>
      </c>
      <c r="F126" s="412" t="s">
        <v>41</v>
      </c>
      <c r="G126" s="405">
        <v>15741010</v>
      </c>
      <c r="H126" s="405"/>
      <c r="I126" s="405">
        <v>458346.94</v>
      </c>
      <c r="J126" s="405"/>
      <c r="K126" s="405">
        <f t="shared" si="36"/>
        <v>0</v>
      </c>
      <c r="L126" s="406"/>
      <c r="M126" s="406"/>
      <c r="N126" s="407"/>
      <c r="O126" s="408"/>
      <c r="P126" s="408"/>
      <c r="Q126" s="408"/>
    </row>
    <row r="127" spans="1:17">
      <c r="A127" s="129" t="s">
        <v>207</v>
      </c>
      <c r="B127" s="126" t="s">
        <v>197</v>
      </c>
      <c r="C127" s="125">
        <v>12</v>
      </c>
      <c r="D127" s="126" t="s">
        <v>201</v>
      </c>
      <c r="E127" s="125">
        <v>16</v>
      </c>
      <c r="F127" s="245" t="s">
        <v>212</v>
      </c>
      <c r="G127" s="319">
        <v>470327</v>
      </c>
      <c r="H127" s="319">
        <v>513522</v>
      </c>
      <c r="I127" s="319" t="s">
        <v>1</v>
      </c>
      <c r="J127" s="319">
        <v>917231</v>
      </c>
      <c r="K127" s="319">
        <f t="shared" si="36"/>
        <v>403709</v>
      </c>
      <c r="L127" s="236">
        <f>SUM(J127:J127)</f>
        <v>917231</v>
      </c>
      <c r="M127" s="236" t="e">
        <f>SUM(M124,M72)</f>
        <v>#REF!</v>
      </c>
      <c r="N127" s="235"/>
      <c r="O127" s="205"/>
      <c r="P127" s="205"/>
      <c r="Q127" s="205"/>
    </row>
    <row r="128" spans="1:17">
      <c r="A128" s="129" t="s">
        <v>207</v>
      </c>
      <c r="B128" s="126" t="s">
        <v>197</v>
      </c>
      <c r="C128" s="125">
        <v>12</v>
      </c>
      <c r="D128" s="126" t="s">
        <v>201</v>
      </c>
      <c r="E128" s="125">
        <v>18</v>
      </c>
      <c r="F128" s="245" t="s">
        <v>213</v>
      </c>
      <c r="G128" s="319">
        <v>33860414</v>
      </c>
      <c r="H128" s="319">
        <v>33294803</v>
      </c>
      <c r="I128" s="319">
        <v>32554211.600000001</v>
      </c>
      <c r="J128" s="319">
        <v>35481388</v>
      </c>
      <c r="K128" s="319">
        <f t="shared" si="36"/>
        <v>2186585</v>
      </c>
      <c r="L128" s="236"/>
      <c r="M128" s="236"/>
      <c r="N128" s="235"/>
      <c r="O128" s="205"/>
      <c r="P128" s="205"/>
      <c r="Q128" s="205"/>
    </row>
    <row r="129" spans="1:17">
      <c r="A129" s="129" t="s">
        <v>207</v>
      </c>
      <c r="B129" s="126" t="s">
        <v>197</v>
      </c>
      <c r="C129" s="125">
        <v>12</v>
      </c>
      <c r="D129" s="126" t="s">
        <v>210</v>
      </c>
      <c r="E129" s="125">
        <v>21</v>
      </c>
      <c r="F129" s="245" t="s">
        <v>214</v>
      </c>
      <c r="G129" s="319">
        <v>0</v>
      </c>
      <c r="H129" s="319"/>
      <c r="I129" s="319" t="s">
        <v>1</v>
      </c>
      <c r="J129" s="319">
        <v>26000000</v>
      </c>
      <c r="K129" s="319">
        <f t="shared" si="36"/>
        <v>26000000</v>
      </c>
      <c r="L129" s="236"/>
      <c r="M129" s="236"/>
      <c r="N129" s="235"/>
      <c r="O129" s="205"/>
      <c r="P129" s="205"/>
      <c r="Q129" s="205"/>
    </row>
    <row r="130" spans="1:17">
      <c r="A130" s="129" t="s">
        <v>207</v>
      </c>
      <c r="B130" s="126" t="s">
        <v>197</v>
      </c>
      <c r="C130" s="125">
        <v>12</v>
      </c>
      <c r="D130" s="126" t="s">
        <v>211</v>
      </c>
      <c r="E130" s="125">
        <v>23</v>
      </c>
      <c r="F130" s="245" t="s">
        <v>42</v>
      </c>
      <c r="G130" s="319">
        <v>0</v>
      </c>
      <c r="H130" s="319">
        <v>55590315.380000003</v>
      </c>
      <c r="I130" s="319">
        <v>150000</v>
      </c>
      <c r="J130" s="319">
        <v>18000000</v>
      </c>
      <c r="K130" s="319">
        <f t="shared" si="36"/>
        <v>-37590315.380000003</v>
      </c>
      <c r="L130" s="236"/>
      <c r="M130" s="236"/>
      <c r="N130" s="235"/>
      <c r="O130" s="205"/>
      <c r="P130" s="205"/>
      <c r="Q130" s="205"/>
    </row>
    <row r="131" spans="1:17">
      <c r="A131" s="129" t="s">
        <v>207</v>
      </c>
      <c r="B131" s="126" t="s">
        <v>197</v>
      </c>
      <c r="C131" s="125">
        <v>12</v>
      </c>
      <c r="D131" s="126" t="s">
        <v>210</v>
      </c>
      <c r="E131" s="125">
        <v>99</v>
      </c>
      <c r="F131" s="245" t="s">
        <v>192</v>
      </c>
      <c r="G131" s="319">
        <v>608000000</v>
      </c>
      <c r="H131" s="319">
        <v>608000000</v>
      </c>
      <c r="I131" s="319">
        <v>27923226.82</v>
      </c>
      <c r="J131" s="319">
        <v>26000000</v>
      </c>
      <c r="K131" s="319">
        <f t="shared" si="36"/>
        <v>-582000000</v>
      </c>
      <c r="L131" s="236">
        <f>SUM(J131:J131)</f>
        <v>26000000</v>
      </c>
      <c r="M131" s="236" t="e">
        <f>#REF!-#REF!</f>
        <v>#REF!</v>
      </c>
      <c r="N131" s="235"/>
      <c r="O131" s="205"/>
      <c r="P131" s="205"/>
      <c r="Q131" s="205"/>
    </row>
    <row r="132" spans="1:17" ht="13.5" thickBot="1">
      <c r="A132" s="129" t="s">
        <v>207</v>
      </c>
      <c r="B132" s="126" t="s">
        <v>197</v>
      </c>
      <c r="C132" s="125">
        <v>12</v>
      </c>
      <c r="D132" s="126" t="s">
        <v>208</v>
      </c>
      <c r="E132" s="135">
        <v>19</v>
      </c>
      <c r="F132" s="245" t="s">
        <v>215</v>
      </c>
      <c r="G132" s="319">
        <v>15000000</v>
      </c>
      <c r="H132" s="319">
        <v>15000000</v>
      </c>
      <c r="I132" s="319">
        <v>50608417.57</v>
      </c>
      <c r="J132" s="319">
        <f>10330500+40000000</f>
        <v>50330500</v>
      </c>
      <c r="K132" s="319">
        <f t="shared" si="36"/>
        <v>35330500</v>
      </c>
      <c r="L132" s="236">
        <f>SUM(J132:J132)</f>
        <v>50330500</v>
      </c>
      <c r="M132" s="236" t="e">
        <f>#REF!-#REF!</f>
        <v>#REF!</v>
      </c>
      <c r="N132" s="235"/>
      <c r="O132" s="205"/>
      <c r="P132" s="205"/>
      <c r="Q132" s="205"/>
    </row>
    <row r="133" spans="1:17" ht="26.25" thickBot="1">
      <c r="F133" s="500" t="s">
        <v>305</v>
      </c>
      <c r="G133" s="497">
        <f>SUM(G120:G132)</f>
        <v>13536068863</v>
      </c>
      <c r="H133" s="322">
        <f>SUM(H120:H132)</f>
        <v>21390926069.380001</v>
      </c>
      <c r="I133" s="322">
        <f>SUM(I120:I132)</f>
        <v>15015258634.110001</v>
      </c>
      <c r="J133" s="322">
        <f t="shared" ref="J133" si="37">SUM(J120:J132)</f>
        <v>50616632488</v>
      </c>
      <c r="K133" s="322">
        <f t="shared" ref="K133:Q133" si="38">SUM(K120:K132)</f>
        <v>29225706418.619999</v>
      </c>
      <c r="L133" s="239">
        <f t="shared" si="38"/>
        <v>34618622469</v>
      </c>
      <c r="M133" s="239" t="e">
        <f t="shared" si="38"/>
        <v>#REF!</v>
      </c>
      <c r="N133" s="254">
        <f t="shared" si="38"/>
        <v>0</v>
      </c>
      <c r="O133" s="239">
        <f t="shared" si="38"/>
        <v>0</v>
      </c>
      <c r="P133" s="239">
        <f t="shared" si="38"/>
        <v>0</v>
      </c>
      <c r="Q133" s="239">
        <f t="shared" si="38"/>
        <v>0</v>
      </c>
    </row>
    <row r="134" spans="1:17">
      <c r="F134" s="245"/>
      <c r="G134" s="328"/>
      <c r="H134" s="319"/>
      <c r="I134" s="319" t="str">
        <f>[1]new!U132</f>
        <v xml:space="preserve"> </v>
      </c>
      <c r="J134" s="319"/>
      <c r="K134" s="319"/>
      <c r="L134" s="236"/>
      <c r="M134" s="236"/>
      <c r="N134" s="235"/>
      <c r="O134" s="205"/>
      <c r="P134" s="205"/>
      <c r="Q134" s="205"/>
    </row>
    <row r="135" spans="1:17">
      <c r="E135" s="132"/>
      <c r="F135" s="265" t="s">
        <v>43</v>
      </c>
      <c r="G135" s="328"/>
      <c r="H135" s="319"/>
      <c r="I135" s="319"/>
      <c r="J135" s="319"/>
      <c r="K135" s="319"/>
      <c r="L135" s="236">
        <f>SUM(J135:J135)</f>
        <v>0</v>
      </c>
      <c r="M135" s="236" t="e">
        <f>#REF!-#REF!</f>
        <v>#REF!</v>
      </c>
      <c r="N135" s="235"/>
      <c r="O135" s="205"/>
      <c r="P135" s="205"/>
      <c r="Q135" s="205"/>
    </row>
    <row r="136" spans="1:17">
      <c r="A136" s="124">
        <v>20011</v>
      </c>
      <c r="B136" s="126" t="s">
        <v>197</v>
      </c>
      <c r="C136" s="125">
        <v>12</v>
      </c>
      <c r="D136" s="126" t="s">
        <v>208</v>
      </c>
      <c r="E136" s="134" t="s">
        <v>209</v>
      </c>
      <c r="F136" s="261" t="s">
        <v>217</v>
      </c>
      <c r="G136" s="319">
        <v>2893706545</v>
      </c>
      <c r="H136" s="319">
        <v>385959903.48000002</v>
      </c>
      <c r="I136" s="319">
        <v>139584824.37</v>
      </c>
      <c r="J136" s="319">
        <f>139584824.37+((139584824.37/9)*3)</f>
        <v>186113099.16</v>
      </c>
      <c r="K136" s="319">
        <f t="shared" ref="K136:K151" si="39">J136-H136</f>
        <v>-199846804.32000002</v>
      </c>
      <c r="L136" s="236"/>
      <c r="M136" s="236"/>
      <c r="N136" s="235"/>
      <c r="O136" s="205"/>
      <c r="P136" s="205"/>
      <c r="Q136" s="205"/>
    </row>
    <row r="137" spans="1:17">
      <c r="A137" s="124">
        <v>20011</v>
      </c>
      <c r="B137" s="126" t="s">
        <v>197</v>
      </c>
      <c r="C137" s="125">
        <v>12</v>
      </c>
      <c r="D137" s="126" t="s">
        <v>208</v>
      </c>
      <c r="E137" s="126" t="s">
        <v>216</v>
      </c>
      <c r="F137" s="245" t="s">
        <v>30</v>
      </c>
      <c r="G137" s="319">
        <v>375239632</v>
      </c>
      <c r="H137" s="319">
        <v>62712854.560000002</v>
      </c>
      <c r="I137" s="319">
        <v>3568745.42</v>
      </c>
      <c r="J137" s="319">
        <v>2726922.92</v>
      </c>
      <c r="K137" s="319">
        <f t="shared" si="39"/>
        <v>-59985931.640000001</v>
      </c>
      <c r="L137" s="236"/>
      <c r="M137" s="236"/>
      <c r="N137" s="235"/>
      <c r="O137" s="205"/>
      <c r="P137" s="205"/>
      <c r="Q137" s="205"/>
    </row>
    <row r="138" spans="1:17">
      <c r="A138" s="124">
        <v>20011</v>
      </c>
      <c r="B138" s="126" t="s">
        <v>197</v>
      </c>
      <c r="C138" s="125">
        <v>12</v>
      </c>
      <c r="D138" s="126" t="s">
        <v>208</v>
      </c>
      <c r="E138" s="126" t="s">
        <v>208</v>
      </c>
      <c r="F138" s="245" t="s">
        <v>347</v>
      </c>
      <c r="G138" s="319">
        <v>808848414</v>
      </c>
      <c r="H138" s="319">
        <v>1264123157.96</v>
      </c>
      <c r="I138" s="319">
        <v>18458203.27</v>
      </c>
      <c r="J138" s="319">
        <v>18458087.640000001</v>
      </c>
      <c r="K138" s="319">
        <f t="shared" si="39"/>
        <v>-1245665070.3199999</v>
      </c>
      <c r="L138" s="236"/>
      <c r="M138" s="236"/>
      <c r="N138" s="235"/>
      <c r="O138" s="205"/>
      <c r="P138" s="205"/>
      <c r="Q138" s="205"/>
    </row>
    <row r="139" spans="1:17">
      <c r="A139" s="124">
        <v>20011</v>
      </c>
      <c r="B139" s="126" t="s">
        <v>197</v>
      </c>
      <c r="C139" s="125">
        <v>12</v>
      </c>
      <c r="D139" s="126" t="s">
        <v>208</v>
      </c>
      <c r="E139" s="126" t="s">
        <v>222</v>
      </c>
      <c r="F139" s="261" t="s">
        <v>31</v>
      </c>
      <c r="G139" s="319">
        <v>15195930</v>
      </c>
      <c r="H139" s="319">
        <v>11436074.33</v>
      </c>
      <c r="I139" s="319">
        <v>6495729.6200000001</v>
      </c>
      <c r="J139" s="319">
        <v>3225097.59</v>
      </c>
      <c r="K139" s="319">
        <f t="shared" si="39"/>
        <v>-8210976.7400000002</v>
      </c>
      <c r="L139" s="236"/>
      <c r="M139" s="236"/>
      <c r="N139" s="235"/>
      <c r="O139" s="205"/>
      <c r="P139" s="205"/>
      <c r="Q139" s="205"/>
    </row>
    <row r="140" spans="1:17">
      <c r="A140" s="124">
        <v>20011</v>
      </c>
      <c r="B140" s="126" t="s">
        <v>197</v>
      </c>
      <c r="C140" s="125">
        <v>12</v>
      </c>
      <c r="D140" s="126" t="s">
        <v>208</v>
      </c>
      <c r="E140" s="126" t="s">
        <v>210</v>
      </c>
      <c r="F140" s="245" t="s">
        <v>218</v>
      </c>
      <c r="G140" s="319">
        <v>637024</v>
      </c>
      <c r="H140" s="319">
        <v>2733377.91</v>
      </c>
      <c r="I140" s="319">
        <v>12114435.210000001</v>
      </c>
      <c r="J140" s="319">
        <v>12114435.210000001</v>
      </c>
      <c r="K140" s="319">
        <f t="shared" si="39"/>
        <v>9381057.3000000007</v>
      </c>
      <c r="L140" s="236"/>
      <c r="M140" s="236"/>
      <c r="N140" s="235"/>
      <c r="O140" s="205"/>
      <c r="P140" s="205"/>
      <c r="Q140" s="205"/>
    </row>
    <row r="141" spans="1:17">
      <c r="A141" s="124">
        <v>20011</v>
      </c>
      <c r="B141" s="126" t="s">
        <v>197</v>
      </c>
      <c r="C141" s="125">
        <v>12</v>
      </c>
      <c r="D141" s="126" t="s">
        <v>208</v>
      </c>
      <c r="E141" s="126" t="s">
        <v>201</v>
      </c>
      <c r="F141" s="245" t="s">
        <v>544</v>
      </c>
      <c r="G141" s="319"/>
      <c r="H141" s="319">
        <v>4501800000</v>
      </c>
      <c r="I141" s="319">
        <v>4719230397.8199997</v>
      </c>
      <c r="J141" s="319">
        <f>2404511602.94+4917863714.55</f>
        <v>7322375317.4899998</v>
      </c>
      <c r="K141" s="319">
        <f t="shared" si="39"/>
        <v>2820575317.4899998</v>
      </c>
      <c r="L141" s="236"/>
      <c r="M141" s="236"/>
      <c r="N141" s="235"/>
      <c r="O141" s="205"/>
      <c r="P141" s="205"/>
      <c r="Q141" s="205"/>
    </row>
    <row r="142" spans="1:17">
      <c r="A142" s="124">
        <v>20011</v>
      </c>
      <c r="B142" s="126" t="s">
        <v>197</v>
      </c>
      <c r="C142" s="125">
        <v>12</v>
      </c>
      <c r="D142" s="126" t="s">
        <v>208</v>
      </c>
      <c r="E142" s="126" t="s">
        <v>204</v>
      </c>
      <c r="F142" s="245" t="s">
        <v>545</v>
      </c>
      <c r="G142" s="319"/>
      <c r="H142" s="319">
        <v>1964600000</v>
      </c>
      <c r="I142" s="319"/>
      <c r="J142" s="319"/>
      <c r="K142" s="319">
        <f t="shared" si="39"/>
        <v>-1964600000</v>
      </c>
      <c r="L142" s="236"/>
      <c r="M142" s="236"/>
      <c r="N142" s="235"/>
      <c r="O142" s="205"/>
      <c r="P142" s="205"/>
      <c r="Q142" s="205"/>
    </row>
    <row r="143" spans="1:17">
      <c r="A143" s="124">
        <v>20011</v>
      </c>
      <c r="B143" s="126" t="s">
        <v>197</v>
      </c>
      <c r="C143" s="125">
        <v>12</v>
      </c>
      <c r="D143" s="126" t="s">
        <v>209</v>
      </c>
      <c r="E143" s="126" t="s">
        <v>222</v>
      </c>
      <c r="F143" s="245" t="s">
        <v>556</v>
      </c>
      <c r="G143" s="319">
        <v>1520650736</v>
      </c>
      <c r="H143" s="319">
        <v>2279530595.8800001</v>
      </c>
      <c r="I143" s="319">
        <v>1766084102.8399999</v>
      </c>
      <c r="J143" s="319">
        <f>((1766084102.84/9)*12)/0.03*(0.04)</f>
        <v>3139705071.7155557</v>
      </c>
      <c r="K143" s="319">
        <f t="shared" si="39"/>
        <v>860174475.83555555</v>
      </c>
      <c r="L143" s="236"/>
      <c r="M143" s="236"/>
      <c r="N143" s="235"/>
      <c r="O143" s="205"/>
      <c r="P143" s="205"/>
      <c r="Q143" s="205"/>
    </row>
    <row r="144" spans="1:17">
      <c r="A144" s="124">
        <v>20011</v>
      </c>
      <c r="B144" s="126" t="s">
        <v>197</v>
      </c>
      <c r="C144" s="125">
        <v>12</v>
      </c>
      <c r="D144" s="126" t="s">
        <v>209</v>
      </c>
      <c r="E144" s="126" t="s">
        <v>210</v>
      </c>
      <c r="F144" s="245" t="s">
        <v>219</v>
      </c>
      <c r="G144" s="319" t="s">
        <v>1</v>
      </c>
      <c r="H144" s="319"/>
      <c r="I144" s="319"/>
      <c r="J144" s="319"/>
      <c r="K144" s="319">
        <f t="shared" si="39"/>
        <v>0</v>
      </c>
      <c r="L144" s="236"/>
      <c r="M144" s="236"/>
      <c r="N144" s="235"/>
      <c r="O144" s="205"/>
      <c r="P144" s="205"/>
      <c r="Q144" s="205"/>
    </row>
    <row r="145" spans="1:17" ht="25.5">
      <c r="A145" s="124">
        <v>20011</v>
      </c>
      <c r="B145" s="126" t="s">
        <v>197</v>
      </c>
      <c r="C145" s="125">
        <v>12</v>
      </c>
      <c r="D145" s="126" t="s">
        <v>209</v>
      </c>
      <c r="E145" s="126" t="s">
        <v>201</v>
      </c>
      <c r="F145" s="245" t="s">
        <v>44</v>
      </c>
      <c r="G145" s="319" t="s">
        <v>1</v>
      </c>
      <c r="H145" s="319"/>
      <c r="I145" s="319"/>
      <c r="J145" s="319"/>
      <c r="K145" s="319">
        <f t="shared" si="39"/>
        <v>0</v>
      </c>
      <c r="L145" s="236"/>
      <c r="M145" s="236"/>
      <c r="N145" s="235"/>
      <c r="O145" s="205"/>
      <c r="P145" s="205"/>
      <c r="Q145" s="205"/>
    </row>
    <row r="146" spans="1:17">
      <c r="A146" s="124">
        <v>20011</v>
      </c>
      <c r="B146" s="126" t="s">
        <v>197</v>
      </c>
      <c r="C146" s="125">
        <v>12</v>
      </c>
      <c r="D146" s="125">
        <v>99</v>
      </c>
      <c r="E146" s="126" t="s">
        <v>222</v>
      </c>
      <c r="F146" s="245" t="s">
        <v>46</v>
      </c>
      <c r="G146" s="319">
        <v>111115727</v>
      </c>
      <c r="H146" s="319">
        <v>31556086.77</v>
      </c>
      <c r="I146" s="319">
        <v>17664879.420000002</v>
      </c>
      <c r="J146" s="319">
        <v>15551025.24</v>
      </c>
      <c r="K146" s="319">
        <f t="shared" si="39"/>
        <v>-16005061.529999999</v>
      </c>
      <c r="L146" s="236"/>
      <c r="M146" s="236"/>
      <c r="N146" s="235"/>
      <c r="O146" s="205"/>
      <c r="P146" s="205"/>
      <c r="Q146" s="205"/>
    </row>
    <row r="147" spans="1:17">
      <c r="A147" s="124">
        <v>20011</v>
      </c>
      <c r="B147" s="126" t="s">
        <v>197</v>
      </c>
      <c r="C147" s="125">
        <v>12</v>
      </c>
      <c r="D147" s="125">
        <v>15</v>
      </c>
      <c r="E147" s="126" t="s">
        <v>208</v>
      </c>
      <c r="F147" s="245" t="s">
        <v>47</v>
      </c>
      <c r="G147" s="319">
        <v>1821813</v>
      </c>
      <c r="H147" s="319">
        <v>267678.3</v>
      </c>
      <c r="I147" s="319">
        <v>422741.78</v>
      </c>
      <c r="J147" s="319">
        <v>387246.78</v>
      </c>
      <c r="K147" s="319">
        <f t="shared" si="39"/>
        <v>119568.48000000004</v>
      </c>
      <c r="L147" s="236"/>
      <c r="M147" s="236"/>
      <c r="N147" s="235"/>
      <c r="O147" s="205"/>
      <c r="P147" s="205"/>
      <c r="Q147" s="205"/>
    </row>
    <row r="148" spans="1:17">
      <c r="A148" s="124">
        <v>20011</v>
      </c>
      <c r="B148" s="126" t="s">
        <v>197</v>
      </c>
      <c r="C148" s="125">
        <v>12</v>
      </c>
      <c r="D148" s="125">
        <v>99</v>
      </c>
      <c r="E148" s="126" t="s">
        <v>210</v>
      </c>
      <c r="F148" s="245" t="s">
        <v>220</v>
      </c>
      <c r="G148" s="319">
        <v>2012485</v>
      </c>
      <c r="H148" s="319">
        <v>2249598.94</v>
      </c>
      <c r="I148" s="319">
        <v>808200</v>
      </c>
      <c r="J148" s="319">
        <f>(I148/9)*12</f>
        <v>1077600</v>
      </c>
      <c r="K148" s="319">
        <f t="shared" si="39"/>
        <v>-1171998.94</v>
      </c>
      <c r="L148" s="237"/>
      <c r="M148" s="236"/>
      <c r="N148" s="235"/>
      <c r="O148" s="205"/>
      <c r="P148" s="205"/>
      <c r="Q148" s="205"/>
    </row>
    <row r="149" spans="1:17">
      <c r="A149" s="124">
        <v>20011</v>
      </c>
      <c r="B149" s="126" t="s">
        <v>197</v>
      </c>
      <c r="C149" s="125">
        <v>12</v>
      </c>
      <c r="D149" s="125">
        <v>99</v>
      </c>
      <c r="E149" s="126" t="s">
        <v>201</v>
      </c>
      <c r="F149" s="245" t="s">
        <v>49</v>
      </c>
      <c r="G149" s="319">
        <v>1667262</v>
      </c>
      <c r="H149" s="319">
        <v>104263733.08</v>
      </c>
      <c r="I149" s="319">
        <v>1811636.87</v>
      </c>
      <c r="J149" s="319">
        <f>(I149/9)*12</f>
        <v>2415515.8266666667</v>
      </c>
      <c r="K149" s="319">
        <f t="shared" si="39"/>
        <v>-101848217.25333333</v>
      </c>
      <c r="L149" s="236"/>
      <c r="M149" s="236"/>
      <c r="N149" s="235"/>
      <c r="O149" s="205"/>
      <c r="P149" s="205"/>
      <c r="Q149" s="205"/>
    </row>
    <row r="150" spans="1:17">
      <c r="A150" s="124">
        <v>20011</v>
      </c>
      <c r="B150" s="126" t="s">
        <v>197</v>
      </c>
      <c r="C150" s="125">
        <v>12</v>
      </c>
      <c r="D150" s="125">
        <v>17</v>
      </c>
      <c r="E150" s="125">
        <v>14</v>
      </c>
      <c r="F150" s="245" t="s">
        <v>221</v>
      </c>
      <c r="G150" s="319">
        <v>1834949</v>
      </c>
      <c r="H150" s="319">
        <v>1531461.43</v>
      </c>
      <c r="I150" s="319">
        <v>1040503.88</v>
      </c>
      <c r="J150" s="319">
        <f>(I150/9)*12</f>
        <v>1387338.5066666668</v>
      </c>
      <c r="K150" s="319">
        <f t="shared" si="39"/>
        <v>-144122.92333333311</v>
      </c>
      <c r="L150" s="236"/>
      <c r="M150" s="236"/>
      <c r="N150" s="235"/>
      <c r="O150" s="205"/>
      <c r="P150" s="205"/>
      <c r="Q150" s="205"/>
    </row>
    <row r="151" spans="1:17">
      <c r="A151" s="124">
        <v>20011</v>
      </c>
      <c r="B151" s="126" t="s">
        <v>197</v>
      </c>
      <c r="C151" s="125">
        <v>12</v>
      </c>
      <c r="D151" s="125">
        <v>99</v>
      </c>
      <c r="E151" s="125">
        <v>99</v>
      </c>
      <c r="F151" s="245" t="s">
        <v>192</v>
      </c>
      <c r="G151" s="319">
        <v>10077043082</v>
      </c>
      <c r="H151" s="319">
        <v>6167652650.8500004</v>
      </c>
      <c r="I151" s="319">
        <v>17214392654.029999</v>
      </c>
      <c r="J151" s="319">
        <f>(I151/9)*11-5000000000</f>
        <v>16039813243.814445</v>
      </c>
      <c r="K151" s="319">
        <f t="shared" si="39"/>
        <v>9872160592.9644451</v>
      </c>
      <c r="L151" s="236"/>
      <c r="M151" s="236"/>
      <c r="N151" s="235"/>
      <c r="O151" s="205"/>
      <c r="P151" s="205"/>
      <c r="Q151" s="205"/>
    </row>
    <row r="152" spans="1:17">
      <c r="A152" s="124">
        <v>20011</v>
      </c>
      <c r="B152" s="126" t="s">
        <v>197</v>
      </c>
      <c r="C152" s="125">
        <v>12</v>
      </c>
      <c r="D152" s="126" t="s">
        <v>201</v>
      </c>
      <c r="E152" s="126" t="s">
        <v>209</v>
      </c>
      <c r="F152" s="245" t="s">
        <v>518</v>
      </c>
      <c r="G152" s="319">
        <v>0</v>
      </c>
      <c r="H152" s="319"/>
      <c r="I152" s="319"/>
      <c r="J152" s="319"/>
      <c r="K152" s="319"/>
      <c r="L152" s="236"/>
      <c r="M152" s="236"/>
      <c r="N152" s="235"/>
      <c r="O152" s="205"/>
      <c r="P152" s="205"/>
      <c r="Q152" s="205"/>
    </row>
    <row r="153" spans="1:17">
      <c r="A153" s="124">
        <v>20011</v>
      </c>
      <c r="B153" s="126" t="s">
        <v>197</v>
      </c>
      <c r="C153" s="125">
        <v>12</v>
      </c>
      <c r="D153" s="125">
        <v>16</v>
      </c>
      <c r="E153" s="125">
        <v>12</v>
      </c>
      <c r="F153" s="261" t="s">
        <v>45</v>
      </c>
      <c r="G153" s="319">
        <v>0</v>
      </c>
      <c r="H153" s="319"/>
      <c r="I153" s="319"/>
      <c r="J153" s="324"/>
      <c r="K153" s="319"/>
      <c r="L153" s="237"/>
      <c r="M153" s="236"/>
      <c r="N153" s="235"/>
      <c r="O153" s="205"/>
      <c r="P153" s="205"/>
      <c r="Q153" s="205"/>
    </row>
    <row r="154" spans="1:17" ht="13.5" thickBot="1">
      <c r="A154" s="124">
        <v>20011</v>
      </c>
      <c r="B154" s="126" t="s">
        <v>197</v>
      </c>
      <c r="C154" s="125">
        <v>12</v>
      </c>
      <c r="D154" s="125">
        <v>16</v>
      </c>
      <c r="E154" s="125">
        <v>13</v>
      </c>
      <c r="F154" s="245" t="s">
        <v>48</v>
      </c>
      <c r="G154" s="319">
        <v>1847855</v>
      </c>
      <c r="H154" s="319"/>
      <c r="I154" s="319"/>
      <c r="J154" s="324"/>
      <c r="K154" s="319"/>
      <c r="L154" s="236"/>
      <c r="M154" s="236"/>
      <c r="N154" s="235"/>
      <c r="O154" s="205"/>
      <c r="P154" s="205"/>
      <c r="Q154" s="205"/>
    </row>
    <row r="155" spans="1:17" ht="13.5" thickBot="1">
      <c r="B155" s="126"/>
      <c r="F155" s="499" t="s">
        <v>270</v>
      </c>
      <c r="G155" s="497">
        <f>SUM(G136:G154)</f>
        <v>15811621454</v>
      </c>
      <c r="H155" s="322">
        <f>SUM(H136:H154)</f>
        <v>16780417173.49</v>
      </c>
      <c r="I155" s="322">
        <f>SUM(I136:I154)</f>
        <v>23901677054.529999</v>
      </c>
      <c r="J155" s="322">
        <f t="shared" ref="J155" si="40">SUM(J136:J154)</f>
        <v>26745350001.893333</v>
      </c>
      <c r="K155" s="322">
        <f t="shared" ref="K155:Q155" si="41">SUM(K136:K154)</f>
        <v>9964932828.4033337</v>
      </c>
      <c r="L155" s="239">
        <f t="shared" si="41"/>
        <v>0</v>
      </c>
      <c r="M155" s="239">
        <f t="shared" si="41"/>
        <v>0</v>
      </c>
      <c r="N155" s="254">
        <f t="shared" si="41"/>
        <v>0</v>
      </c>
      <c r="O155" s="239">
        <f t="shared" si="41"/>
        <v>0</v>
      </c>
      <c r="P155" s="239">
        <f t="shared" si="41"/>
        <v>0</v>
      </c>
      <c r="Q155" s="239">
        <f t="shared" si="41"/>
        <v>0</v>
      </c>
    </row>
    <row r="156" spans="1:17">
      <c r="B156" s="126"/>
      <c r="F156" s="245"/>
      <c r="G156" s="328" t="s">
        <v>1</v>
      </c>
      <c r="H156" s="319" t="s">
        <v>1</v>
      </c>
      <c r="I156" s="319" t="s">
        <v>1</v>
      </c>
      <c r="J156" s="319"/>
      <c r="K156" s="319"/>
      <c r="L156" s="236"/>
      <c r="M156" s="236"/>
      <c r="N156" s="235"/>
      <c r="O156" s="205"/>
      <c r="P156" s="205"/>
      <c r="Q156" s="205"/>
    </row>
    <row r="157" spans="1:17">
      <c r="F157" s="265" t="s">
        <v>271</v>
      </c>
      <c r="G157" s="328"/>
      <c r="H157" s="319" t="s">
        <v>1</v>
      </c>
      <c r="I157" s="319" t="s">
        <v>1</v>
      </c>
      <c r="J157" s="319"/>
      <c r="K157" s="319"/>
      <c r="L157" s="236"/>
      <c r="M157" s="236"/>
      <c r="N157" s="235"/>
      <c r="O157" s="205"/>
      <c r="P157" s="205"/>
      <c r="Q157" s="205"/>
    </row>
    <row r="158" spans="1:17">
      <c r="A158" s="124">
        <v>20012</v>
      </c>
      <c r="B158" s="126" t="s">
        <v>197</v>
      </c>
      <c r="C158" s="125">
        <v>12</v>
      </c>
      <c r="D158" s="125">
        <v>16</v>
      </c>
      <c r="E158" s="125">
        <v>20</v>
      </c>
      <c r="F158" s="245" t="s">
        <v>11</v>
      </c>
      <c r="G158" s="319">
        <v>9085158</v>
      </c>
      <c r="H158" s="319">
        <v>9850473.2400000002</v>
      </c>
      <c r="I158" s="319">
        <v>7225005.6200000001</v>
      </c>
      <c r="J158" s="319">
        <f>(I158/9)*11</f>
        <v>8830562.4244444445</v>
      </c>
      <c r="K158" s="319">
        <f t="shared" ref="K158:K166" si="42">J158-H158</f>
        <v>-1019910.8155555557</v>
      </c>
      <c r="L158" s="237"/>
      <c r="M158" s="236" t="s">
        <v>1</v>
      </c>
      <c r="N158" s="235"/>
      <c r="O158" s="205">
        <v>12241141.5</v>
      </c>
      <c r="P158" s="205">
        <v>13465255.65</v>
      </c>
      <c r="Q158" s="205">
        <v>14138518.439999999</v>
      </c>
    </row>
    <row r="159" spans="1:17">
      <c r="A159" s="124">
        <v>20012</v>
      </c>
      <c r="B159" s="126" t="s">
        <v>197</v>
      </c>
      <c r="C159" s="125">
        <v>12</v>
      </c>
      <c r="D159" s="126" t="s">
        <v>210</v>
      </c>
      <c r="E159" s="125">
        <v>22</v>
      </c>
      <c r="F159" s="245" t="s">
        <v>223</v>
      </c>
      <c r="G159" s="319">
        <v>221763993</v>
      </c>
      <c r="H159" s="319">
        <v>308039234.49000001</v>
      </c>
      <c r="I159" s="319" t="s">
        <v>1</v>
      </c>
      <c r="J159" s="319">
        <v>134387333.00999999</v>
      </c>
      <c r="K159" s="319">
        <f t="shared" si="42"/>
        <v>-173651901.48000002</v>
      </c>
      <c r="L159" s="236">
        <f>SUM(L158:L158)</f>
        <v>0</v>
      </c>
      <c r="M159" s="236">
        <f>SUM(M158:M158)</f>
        <v>0</v>
      </c>
      <c r="N159" s="235"/>
      <c r="O159" s="205">
        <v>161264799.61000001</v>
      </c>
      <c r="P159" s="205">
        <v>177391279.56999999</v>
      </c>
      <c r="Q159" s="205">
        <v>186260843.55000001</v>
      </c>
    </row>
    <row r="160" spans="1:17" ht="25.5">
      <c r="A160" s="124">
        <v>20012</v>
      </c>
      <c r="B160" s="126" t="s">
        <v>197</v>
      </c>
      <c r="C160" s="125">
        <v>12</v>
      </c>
      <c r="D160" s="126" t="s">
        <v>210</v>
      </c>
      <c r="E160" s="125">
        <v>20</v>
      </c>
      <c r="F160" s="245" t="s">
        <v>50</v>
      </c>
      <c r="G160" s="319">
        <v>120439090</v>
      </c>
      <c r="H160" s="319">
        <v>135040299.91</v>
      </c>
      <c r="I160" s="319" t="s">
        <v>1</v>
      </c>
      <c r="J160" s="319">
        <v>84904982.840000004</v>
      </c>
      <c r="K160" s="319">
        <f t="shared" si="42"/>
        <v>-50135317.069999993</v>
      </c>
      <c r="L160" s="236"/>
      <c r="M160" s="236"/>
      <c r="N160" s="235"/>
      <c r="O160" s="205">
        <v>89150231.989999995</v>
      </c>
      <c r="P160" s="205">
        <v>93607743.590000004</v>
      </c>
      <c r="Q160" s="205">
        <v>98288130.769999996</v>
      </c>
    </row>
    <row r="161" spans="1:20">
      <c r="A161" s="124">
        <v>20012</v>
      </c>
      <c r="B161" s="126" t="s">
        <v>197</v>
      </c>
      <c r="C161" s="125">
        <v>12</v>
      </c>
      <c r="D161" s="126" t="s">
        <v>226</v>
      </c>
      <c r="E161" s="126" t="s">
        <v>227</v>
      </c>
      <c r="F161" s="245" t="s">
        <v>51</v>
      </c>
      <c r="G161" s="319">
        <v>981858185</v>
      </c>
      <c r="H161" s="319">
        <v>892521644.24000001</v>
      </c>
      <c r="I161" s="319" t="s">
        <v>1</v>
      </c>
      <c r="J161" s="319">
        <v>493117927.35000002</v>
      </c>
      <c r="K161" s="319">
        <f t="shared" si="42"/>
        <v>-399403716.88999999</v>
      </c>
      <c r="L161" s="236"/>
      <c r="M161" s="236"/>
      <c r="N161" s="235"/>
      <c r="O161" s="205">
        <v>591741512.82000005</v>
      </c>
      <c r="P161" s="205">
        <v>650915664.10000002</v>
      </c>
      <c r="Q161" s="205">
        <v>683461447.30999994</v>
      </c>
    </row>
    <row r="162" spans="1:20">
      <c r="A162" s="124">
        <v>20012</v>
      </c>
      <c r="B162" s="126" t="s">
        <v>197</v>
      </c>
      <c r="C162" s="125">
        <v>12</v>
      </c>
      <c r="D162" s="126">
        <v>17</v>
      </c>
      <c r="E162" s="126" t="s">
        <v>209</v>
      </c>
      <c r="F162" s="245" t="s">
        <v>546</v>
      </c>
      <c r="G162" s="319">
        <v>0</v>
      </c>
      <c r="H162" s="319"/>
      <c r="I162" s="319" t="s">
        <v>1</v>
      </c>
      <c r="J162" s="319">
        <v>113877855.5</v>
      </c>
      <c r="K162" s="319">
        <f t="shared" si="42"/>
        <v>113877855.5</v>
      </c>
      <c r="L162" s="236"/>
      <c r="M162" s="236"/>
      <c r="N162" s="235"/>
      <c r="O162" s="205">
        <v>119571748.28</v>
      </c>
      <c r="P162" s="205">
        <v>125550335.69</v>
      </c>
      <c r="Q162" s="205">
        <v>131827852.47</v>
      </c>
    </row>
    <row r="163" spans="1:20">
      <c r="A163" s="124">
        <v>20012</v>
      </c>
      <c r="B163" s="126" t="s">
        <v>197</v>
      </c>
      <c r="C163" s="125">
        <v>12</v>
      </c>
      <c r="D163" s="125">
        <v>17</v>
      </c>
      <c r="E163" s="125">
        <v>25</v>
      </c>
      <c r="F163" s="261" t="s">
        <v>52</v>
      </c>
      <c r="G163" s="319">
        <v>36121281</v>
      </c>
      <c r="H163" s="319">
        <v>37627109.469999999</v>
      </c>
      <c r="I163" s="319">
        <v>20281575.859999999</v>
      </c>
      <c r="J163" s="319">
        <v>30189629.390000001</v>
      </c>
      <c r="K163" s="319">
        <f t="shared" si="42"/>
        <v>-7437480.0799999982</v>
      </c>
      <c r="L163" s="236"/>
      <c r="M163" s="236"/>
      <c r="N163" s="235"/>
      <c r="O163" s="205">
        <v>34718073.789999999</v>
      </c>
      <c r="P163" s="205">
        <v>38189881.170000002</v>
      </c>
      <c r="Q163" s="205">
        <v>40099375.229999997</v>
      </c>
    </row>
    <row r="164" spans="1:20">
      <c r="A164" s="124">
        <v>20012</v>
      </c>
      <c r="B164" s="126" t="s">
        <v>197</v>
      </c>
      <c r="C164" s="125">
        <v>12</v>
      </c>
      <c r="D164" s="125">
        <v>17</v>
      </c>
      <c r="E164" s="125">
        <v>12</v>
      </c>
      <c r="F164" s="245" t="s">
        <v>224</v>
      </c>
      <c r="G164" s="319">
        <v>5546033753</v>
      </c>
      <c r="H164" s="319">
        <v>5280526000</v>
      </c>
      <c r="I164" s="319">
        <v>1620377704.95</v>
      </c>
      <c r="J164" s="319">
        <f>1650000000+350000000</f>
        <v>2000000000</v>
      </c>
      <c r="K164" s="319">
        <f t="shared" si="42"/>
        <v>-3280526000</v>
      </c>
      <c r="L164" s="236"/>
      <c r="M164" s="236"/>
      <c r="N164" s="235"/>
      <c r="O164" s="205">
        <v>1782000000</v>
      </c>
      <c r="P164" s="205">
        <v>1960200000</v>
      </c>
      <c r="Q164" s="205">
        <v>2058210</v>
      </c>
    </row>
    <row r="165" spans="1:20">
      <c r="A165" s="124">
        <v>20012</v>
      </c>
      <c r="B165" s="126" t="s">
        <v>197</v>
      </c>
      <c r="C165" s="125">
        <v>12</v>
      </c>
      <c r="D165" s="125">
        <v>17</v>
      </c>
      <c r="E165" s="125">
        <v>14</v>
      </c>
      <c r="F165" s="245" t="s">
        <v>225</v>
      </c>
      <c r="G165" s="319">
        <v>41500</v>
      </c>
      <c r="H165" s="319">
        <v>41500</v>
      </c>
      <c r="I165" s="319" t="s">
        <v>1</v>
      </c>
      <c r="J165" s="319">
        <v>33000</v>
      </c>
      <c r="K165" s="319">
        <f t="shared" si="42"/>
        <v>-8500</v>
      </c>
      <c r="L165" s="236">
        <f>SUM(J165:J165)</f>
        <v>33000</v>
      </c>
      <c r="M165" s="236" t="e">
        <f>#REF!-#REF!</f>
        <v>#REF!</v>
      </c>
      <c r="N165" s="235"/>
      <c r="O165" s="205">
        <v>40000</v>
      </c>
      <c r="P165" s="205">
        <v>44000</v>
      </c>
      <c r="Q165" s="205">
        <v>64200</v>
      </c>
    </row>
    <row r="166" spans="1:20" ht="13.5" thickBot="1">
      <c r="A166" s="124">
        <v>20012</v>
      </c>
      <c r="B166" s="126" t="s">
        <v>197</v>
      </c>
      <c r="C166" s="125">
        <v>12</v>
      </c>
      <c r="D166" s="125">
        <v>99</v>
      </c>
      <c r="E166" s="132">
        <v>99</v>
      </c>
      <c r="F166" s="261" t="s">
        <v>192</v>
      </c>
      <c r="G166" s="319">
        <v>934935</v>
      </c>
      <c r="H166" s="319">
        <v>917331.78</v>
      </c>
      <c r="I166" s="319">
        <v>1896676551.77</v>
      </c>
      <c r="J166" s="319">
        <f>(I166/9)*11-1000000000</f>
        <v>1318160229.9411111</v>
      </c>
      <c r="K166" s="319">
        <f t="shared" si="42"/>
        <v>1317242898.1611111</v>
      </c>
      <c r="L166" s="236">
        <f>SUM(J166:J166)</f>
        <v>1318160229.9411111</v>
      </c>
      <c r="M166" s="236" t="e">
        <f>#REF!-#REF!</f>
        <v>#REF!</v>
      </c>
      <c r="N166" s="235"/>
      <c r="O166" s="205">
        <v>872668.01</v>
      </c>
      <c r="P166" s="205">
        <v>959934.81</v>
      </c>
      <c r="Q166" s="205">
        <v>1007931.55</v>
      </c>
    </row>
    <row r="167" spans="1:20" ht="13.5" thickBot="1">
      <c r="F167" s="499" t="s">
        <v>272</v>
      </c>
      <c r="G167" s="497">
        <f>SUM(G158:G166)</f>
        <v>6916277895</v>
      </c>
      <c r="H167" s="322">
        <f>SUM(H158:H166)</f>
        <v>6664563593.1300001</v>
      </c>
      <c r="I167" s="322">
        <f>SUM(I158:I166)</f>
        <v>3544560838.1999998</v>
      </c>
      <c r="J167" s="322">
        <f t="shared" ref="J167" si="43">SUM(J158:J166)</f>
        <v>4183501520.4555554</v>
      </c>
      <c r="K167" s="322">
        <f t="shared" ref="K167:Q167" si="44">SUM(K158:K166)</f>
        <v>-2481062072.6744442</v>
      </c>
      <c r="L167" s="239">
        <f t="shared" si="44"/>
        <v>1318193229.9411111</v>
      </c>
      <c r="M167" s="239" t="e">
        <f t="shared" si="44"/>
        <v>#REF!</v>
      </c>
      <c r="N167" s="254">
        <f t="shared" si="44"/>
        <v>0</v>
      </c>
      <c r="O167" s="239">
        <f t="shared" si="44"/>
        <v>2791600176</v>
      </c>
      <c r="P167" s="239">
        <f t="shared" si="44"/>
        <v>3060324094.5800004</v>
      </c>
      <c r="Q167" s="239">
        <f t="shared" si="44"/>
        <v>1157206509.3199999</v>
      </c>
      <c r="S167" s="1" t="s">
        <v>523</v>
      </c>
      <c r="T167" s="5"/>
    </row>
    <row r="168" spans="1:20">
      <c r="F168" s="245"/>
      <c r="G168" s="328"/>
      <c r="H168" s="319" t="s">
        <v>1</v>
      </c>
      <c r="I168" s="319" t="s">
        <v>1</v>
      </c>
      <c r="J168" s="319" t="s">
        <v>1</v>
      </c>
      <c r="K168" s="319"/>
      <c r="L168" s="236">
        <f>SUM(J168:J168)</f>
        <v>0</v>
      </c>
      <c r="M168" s="236" t="e">
        <f>#REF!-#REF!</f>
        <v>#REF!</v>
      </c>
      <c r="N168" s="235"/>
      <c r="O168" s="205"/>
      <c r="P168" s="205"/>
      <c r="Q168" s="205"/>
    </row>
    <row r="169" spans="1:20">
      <c r="F169" s="265" t="s">
        <v>273</v>
      </c>
      <c r="G169" s="328"/>
      <c r="H169" s="319" t="s">
        <v>1</v>
      </c>
      <c r="I169" s="319" t="s">
        <v>1</v>
      </c>
      <c r="J169" s="319" t="s">
        <v>1</v>
      </c>
      <c r="K169" s="319"/>
      <c r="L169" s="236"/>
      <c r="M169" s="236"/>
      <c r="N169" s="235"/>
      <c r="O169" s="205"/>
      <c r="P169" s="205"/>
      <c r="Q169" s="205"/>
    </row>
    <row r="170" spans="1:20" ht="25.5">
      <c r="A170" s="124">
        <v>20056</v>
      </c>
      <c r="B170" s="126" t="s">
        <v>197</v>
      </c>
      <c r="C170" s="125">
        <v>12</v>
      </c>
      <c r="D170" s="126" t="s">
        <v>210</v>
      </c>
      <c r="E170" s="125">
        <v>11</v>
      </c>
      <c r="F170" s="261" t="s">
        <v>53</v>
      </c>
      <c r="G170" s="319">
        <v>1000</v>
      </c>
      <c r="H170" s="319"/>
      <c r="I170" s="319" t="s">
        <v>1</v>
      </c>
      <c r="J170" s="319"/>
      <c r="K170" s="319"/>
      <c r="L170" s="236">
        <f>SUM(L165:L169)</f>
        <v>2636386459.8822222</v>
      </c>
      <c r="M170" s="236" t="e">
        <f>SUM(M165:M168)</f>
        <v>#REF!</v>
      </c>
      <c r="N170" s="235"/>
      <c r="O170" s="205"/>
      <c r="P170" s="205"/>
      <c r="Q170" s="205"/>
    </row>
    <row r="171" spans="1:20">
      <c r="A171" s="124">
        <v>20056</v>
      </c>
      <c r="B171" s="126" t="s">
        <v>197</v>
      </c>
      <c r="C171" s="125">
        <v>12</v>
      </c>
      <c r="D171" s="126" t="s">
        <v>210</v>
      </c>
      <c r="E171" s="125">
        <v>24</v>
      </c>
      <c r="F171" s="245" t="s">
        <v>54</v>
      </c>
      <c r="G171" s="319">
        <v>300000</v>
      </c>
      <c r="H171" s="319">
        <v>327000</v>
      </c>
      <c r="I171" s="319" t="s">
        <v>1</v>
      </c>
      <c r="J171" s="319">
        <v>440000</v>
      </c>
      <c r="K171" s="319">
        <f t="shared" ref="K171:K182" si="45">J171-H171</f>
        <v>113000</v>
      </c>
      <c r="L171" s="236"/>
      <c r="M171" s="236"/>
      <c r="N171" s="235"/>
      <c r="O171" s="205">
        <v>448800</v>
      </c>
      <c r="P171" s="205">
        <v>471200</v>
      </c>
      <c r="Q171" s="205">
        <v>494800</v>
      </c>
    </row>
    <row r="172" spans="1:20">
      <c r="A172" s="124">
        <v>20056</v>
      </c>
      <c r="B172" s="126" t="s">
        <v>197</v>
      </c>
      <c r="C172" s="125">
        <v>12</v>
      </c>
      <c r="D172" s="125">
        <v>17</v>
      </c>
      <c r="E172" s="125">
        <v>29</v>
      </c>
      <c r="F172" s="245" t="s">
        <v>55</v>
      </c>
      <c r="G172" s="319">
        <v>200000000</v>
      </c>
      <c r="H172" s="319">
        <v>215000000</v>
      </c>
      <c r="I172" s="319">
        <v>163615692.44999999</v>
      </c>
      <c r="J172" s="319">
        <v>200000000</v>
      </c>
      <c r="K172" s="319">
        <f t="shared" si="45"/>
        <v>-15000000</v>
      </c>
      <c r="L172" s="236"/>
      <c r="M172" s="236"/>
      <c r="N172" s="235"/>
      <c r="O172" s="205">
        <v>204000000</v>
      </c>
      <c r="P172" s="205">
        <v>214200000</v>
      </c>
      <c r="Q172" s="205">
        <v>224910000</v>
      </c>
    </row>
    <row r="173" spans="1:20">
      <c r="A173" s="124">
        <v>20056</v>
      </c>
      <c r="B173" s="126" t="s">
        <v>197</v>
      </c>
      <c r="C173" s="125">
        <v>12</v>
      </c>
      <c r="D173" s="125">
        <v>17</v>
      </c>
      <c r="E173" s="125">
        <v>23</v>
      </c>
      <c r="F173" s="245" t="s">
        <v>327</v>
      </c>
      <c r="G173" s="319">
        <v>0</v>
      </c>
      <c r="H173" s="319"/>
      <c r="I173" s="319" t="s">
        <v>1</v>
      </c>
      <c r="J173" s="319"/>
      <c r="K173" s="319">
        <f t="shared" si="45"/>
        <v>0</v>
      </c>
      <c r="L173" s="236"/>
      <c r="M173" s="236"/>
      <c r="N173" s="235"/>
      <c r="O173" s="205"/>
      <c r="P173" s="205"/>
      <c r="Q173" s="205"/>
    </row>
    <row r="174" spans="1:20">
      <c r="A174" s="124">
        <v>20056</v>
      </c>
      <c r="B174" s="126" t="s">
        <v>197</v>
      </c>
      <c r="C174" s="125">
        <v>12</v>
      </c>
      <c r="D174" s="125">
        <v>17</v>
      </c>
      <c r="E174" s="125">
        <v>40</v>
      </c>
      <c r="F174" s="245" t="s">
        <v>195</v>
      </c>
      <c r="G174" s="319">
        <v>480000</v>
      </c>
      <c r="H174" s="319">
        <v>512000</v>
      </c>
      <c r="I174" s="319">
        <v>159177.5</v>
      </c>
      <c r="J174" s="319">
        <v>200000</v>
      </c>
      <c r="K174" s="319">
        <f t="shared" si="45"/>
        <v>-312000</v>
      </c>
      <c r="L174" s="236"/>
      <c r="M174" s="236"/>
      <c r="N174" s="235"/>
      <c r="O174" s="205">
        <v>204000</v>
      </c>
      <c r="P174" s="205">
        <v>214200</v>
      </c>
      <c r="Q174" s="205">
        <v>225000</v>
      </c>
    </row>
    <row r="175" spans="1:20">
      <c r="A175" s="124">
        <v>20056</v>
      </c>
      <c r="B175" s="126" t="s">
        <v>197</v>
      </c>
      <c r="C175" s="125">
        <v>12</v>
      </c>
      <c r="D175" s="125">
        <v>17</v>
      </c>
      <c r="E175" s="132">
        <v>24</v>
      </c>
      <c r="F175" s="245" t="s">
        <v>56</v>
      </c>
      <c r="G175" s="319">
        <v>46800000</v>
      </c>
      <c r="H175" s="319">
        <v>52000000</v>
      </c>
      <c r="I175" s="319">
        <v>41314043.539999999</v>
      </c>
      <c r="J175" s="319">
        <v>60000000</v>
      </c>
      <c r="K175" s="319">
        <f t="shared" si="45"/>
        <v>8000000</v>
      </c>
      <c r="L175" s="236">
        <f>SUM(J175:J175)</f>
        <v>60000000</v>
      </c>
      <c r="M175" s="236" t="e">
        <f>#REF!-#REF!</f>
        <v>#REF!</v>
      </c>
      <c r="N175" s="235"/>
      <c r="O175" s="205">
        <v>61200000</v>
      </c>
      <c r="P175" s="205">
        <v>64260000</v>
      </c>
      <c r="Q175" s="205">
        <v>68000000</v>
      </c>
    </row>
    <row r="176" spans="1:20">
      <c r="A176" s="124">
        <v>20056</v>
      </c>
      <c r="B176" s="126" t="s">
        <v>197</v>
      </c>
      <c r="C176" s="125">
        <v>12</v>
      </c>
      <c r="D176" s="125">
        <v>17</v>
      </c>
      <c r="E176" s="125">
        <v>26</v>
      </c>
      <c r="F176" s="245" t="s">
        <v>228</v>
      </c>
      <c r="G176" s="319">
        <v>0</v>
      </c>
      <c r="H176" s="319"/>
      <c r="I176" s="319" t="s">
        <v>1</v>
      </c>
      <c r="J176" s="319"/>
      <c r="K176" s="319">
        <f t="shared" si="45"/>
        <v>0</v>
      </c>
      <c r="L176" s="236">
        <f>SUM(J176:J176)</f>
        <v>0</v>
      </c>
      <c r="M176" s="236" t="e">
        <f>#REF!-#REF!</f>
        <v>#REF!</v>
      </c>
      <c r="N176" s="235"/>
      <c r="O176" s="205"/>
      <c r="P176" s="205"/>
      <c r="Q176" s="205"/>
    </row>
    <row r="177" spans="1:20">
      <c r="A177" s="124">
        <v>20056</v>
      </c>
      <c r="B177" s="126" t="s">
        <v>197</v>
      </c>
      <c r="C177" s="125">
        <v>12</v>
      </c>
      <c r="D177" s="125">
        <v>15</v>
      </c>
      <c r="E177" s="125">
        <v>45</v>
      </c>
      <c r="F177" s="245" t="s">
        <v>196</v>
      </c>
      <c r="G177" s="319">
        <v>14000000</v>
      </c>
      <c r="H177" s="319">
        <v>16200000</v>
      </c>
      <c r="I177" s="319">
        <v>8164200</v>
      </c>
      <c r="J177" s="319">
        <v>10000000</v>
      </c>
      <c r="K177" s="319">
        <f t="shared" si="45"/>
        <v>-6200000</v>
      </c>
      <c r="L177" s="236">
        <f>SUM(J177:J177)</f>
        <v>10000000</v>
      </c>
      <c r="M177" s="236" t="e">
        <f>#REF!-#REF!</f>
        <v>#REF!</v>
      </c>
      <c r="N177" s="235"/>
      <c r="O177" s="205">
        <v>10200000</v>
      </c>
      <c r="P177" s="205">
        <v>10710000</v>
      </c>
      <c r="Q177" s="205">
        <v>11250000</v>
      </c>
    </row>
    <row r="178" spans="1:20" s="123" customFormat="1">
      <c r="A178" s="124">
        <v>20056</v>
      </c>
      <c r="B178" s="126" t="s">
        <v>197</v>
      </c>
      <c r="C178" s="125">
        <v>12</v>
      </c>
      <c r="D178" s="125">
        <v>17</v>
      </c>
      <c r="E178" s="125">
        <v>29</v>
      </c>
      <c r="F178" s="245" t="s">
        <v>356</v>
      </c>
      <c r="G178" s="319">
        <v>0</v>
      </c>
      <c r="H178" s="319"/>
      <c r="I178" s="319" t="s">
        <v>1</v>
      </c>
      <c r="J178" s="319">
        <v>0</v>
      </c>
      <c r="K178" s="319">
        <f t="shared" si="45"/>
        <v>0</v>
      </c>
      <c r="L178" s="313"/>
      <c r="M178" s="313"/>
      <c r="N178" s="314"/>
      <c r="O178" s="256">
        <v>234600000</v>
      </c>
      <c r="P178" s="256">
        <v>246330000</v>
      </c>
      <c r="Q178" s="256">
        <v>260000000</v>
      </c>
    </row>
    <row r="179" spans="1:20">
      <c r="A179" s="124">
        <v>20056</v>
      </c>
      <c r="B179" s="126" t="s">
        <v>197</v>
      </c>
      <c r="C179" s="125">
        <v>12</v>
      </c>
      <c r="D179" s="125">
        <v>17</v>
      </c>
      <c r="E179" s="125">
        <v>25</v>
      </c>
      <c r="F179" s="245" t="s">
        <v>57</v>
      </c>
      <c r="G179" s="319">
        <v>9000000</v>
      </c>
      <c r="H179" s="319">
        <v>8000000</v>
      </c>
      <c r="I179" s="319">
        <v>9059779.6699999999</v>
      </c>
      <c r="J179" s="319">
        <f>9000000</f>
        <v>9000000</v>
      </c>
      <c r="K179" s="319">
        <f t="shared" si="45"/>
        <v>1000000</v>
      </c>
      <c r="L179" s="236">
        <f>SUM(J179:J179)</f>
        <v>9000000</v>
      </c>
      <c r="M179" s="236" t="e">
        <f>#REF!-#REF!</f>
        <v>#REF!</v>
      </c>
      <c r="N179" s="235"/>
      <c r="O179" s="205">
        <v>9180000</v>
      </c>
      <c r="P179" s="205">
        <v>9639000</v>
      </c>
      <c r="Q179" s="205">
        <v>10200000</v>
      </c>
    </row>
    <row r="180" spans="1:20">
      <c r="A180" s="124">
        <v>20056</v>
      </c>
      <c r="B180" s="126" t="s">
        <v>197</v>
      </c>
      <c r="C180" s="125">
        <v>12</v>
      </c>
      <c r="D180" s="125">
        <v>99</v>
      </c>
      <c r="E180" s="125">
        <v>99</v>
      </c>
      <c r="F180" s="245" t="s">
        <v>32</v>
      </c>
      <c r="G180" s="319">
        <v>20000000</v>
      </c>
      <c r="H180" s="319">
        <v>23577000</v>
      </c>
      <c r="I180" s="319">
        <v>18573172.940000001</v>
      </c>
      <c r="J180" s="319">
        <v>22000000</v>
      </c>
      <c r="K180" s="319">
        <f t="shared" si="45"/>
        <v>-1577000</v>
      </c>
      <c r="L180" s="236">
        <f>SUM(J180:J180)</f>
        <v>22000000</v>
      </c>
      <c r="M180" s="236" t="e">
        <f>#REF!-#REF!</f>
        <v>#REF!</v>
      </c>
      <c r="N180" s="235"/>
      <c r="O180" s="205">
        <v>22500000</v>
      </c>
      <c r="P180" s="205">
        <v>23625000</v>
      </c>
      <c r="Q180" s="205">
        <v>25000000</v>
      </c>
    </row>
    <row r="181" spans="1:20" s="409" customFormat="1">
      <c r="A181" s="404">
        <v>20056</v>
      </c>
      <c r="B181" s="411" t="s">
        <v>197</v>
      </c>
      <c r="C181" s="224">
        <v>12</v>
      </c>
      <c r="D181" s="224">
        <v>17</v>
      </c>
      <c r="E181" s="224">
        <v>30</v>
      </c>
      <c r="F181" s="412" t="s">
        <v>229</v>
      </c>
      <c r="G181" s="405">
        <v>0</v>
      </c>
      <c r="H181" s="405"/>
      <c r="I181" s="405">
        <v>2648334.69</v>
      </c>
      <c r="J181" s="405"/>
      <c r="K181" s="405">
        <f t="shared" si="45"/>
        <v>0</v>
      </c>
      <c r="L181" s="406">
        <f>SUM(J181:J181)</f>
        <v>0</v>
      </c>
      <c r="M181" s="406" t="e">
        <f>#REF!-#REF!</f>
        <v>#REF!</v>
      </c>
      <c r="N181" s="407"/>
      <c r="O181" s="408"/>
      <c r="P181" s="408"/>
      <c r="Q181" s="408"/>
    </row>
    <row r="182" spans="1:20" s="482" customFormat="1" ht="25.5">
      <c r="A182" s="474">
        <v>20056</v>
      </c>
      <c r="B182" s="475" t="s">
        <v>197</v>
      </c>
      <c r="C182" s="476">
        <v>12</v>
      </c>
      <c r="D182" s="476">
        <v>15</v>
      </c>
      <c r="E182" s="475" t="s">
        <v>232</v>
      </c>
      <c r="F182" s="477" t="s">
        <v>58</v>
      </c>
      <c r="G182" s="478">
        <v>0</v>
      </c>
      <c r="H182" s="478"/>
      <c r="I182" s="478" t="s">
        <v>1</v>
      </c>
      <c r="J182" s="478"/>
      <c r="K182" s="478">
        <f t="shared" si="45"/>
        <v>0</v>
      </c>
      <c r="L182" s="479"/>
      <c r="M182" s="479"/>
      <c r="N182" s="480"/>
      <c r="O182" s="481"/>
      <c r="P182" s="481"/>
      <c r="Q182" s="481"/>
    </row>
    <row r="183" spans="1:20" ht="13.5" thickBot="1">
      <c r="B183" s="126"/>
      <c r="F183" s="501" t="s">
        <v>274</v>
      </c>
      <c r="G183" s="502">
        <f>SUM(G170:G182)</f>
        <v>290581000</v>
      </c>
      <c r="H183" s="471">
        <f>SUM(H170:H182)</f>
        <v>315616000</v>
      </c>
      <c r="I183" s="471">
        <f>SUM(I170:I182)</f>
        <v>243534400.78999996</v>
      </c>
      <c r="J183" s="471">
        <f t="shared" ref="J183" si="46">SUM(J170:J182)</f>
        <v>301640000</v>
      </c>
      <c r="K183" s="471">
        <f t="shared" ref="K183:Q183" si="47">SUM(K170:K182)</f>
        <v>-13976000</v>
      </c>
      <c r="L183" s="472">
        <f t="shared" si="47"/>
        <v>2737386459.8822222</v>
      </c>
      <c r="M183" s="472" t="e">
        <f t="shared" si="47"/>
        <v>#REF!</v>
      </c>
      <c r="N183" s="473">
        <f t="shared" si="47"/>
        <v>0</v>
      </c>
      <c r="O183" s="472">
        <f t="shared" si="47"/>
        <v>542332800</v>
      </c>
      <c r="P183" s="472">
        <f t="shared" si="47"/>
        <v>569449400</v>
      </c>
      <c r="Q183" s="472">
        <f t="shared" si="47"/>
        <v>600079800</v>
      </c>
      <c r="S183" s="1" t="s">
        <v>530</v>
      </c>
      <c r="T183" s="5"/>
    </row>
    <row r="184" spans="1:20">
      <c r="B184" s="126"/>
      <c r="E184" s="132"/>
      <c r="F184" s="261"/>
      <c r="G184" s="328"/>
      <c r="H184" s="319"/>
      <c r="I184" s="324" t="s">
        <v>1</v>
      </c>
      <c r="J184" s="319"/>
      <c r="K184" s="319"/>
      <c r="L184" s="236">
        <f>SUM(J184:J184)</f>
        <v>0</v>
      </c>
      <c r="M184" s="236" t="e">
        <f>#REF!-#REF!</f>
        <v>#REF!</v>
      </c>
      <c r="N184" s="235"/>
      <c r="O184" s="205"/>
      <c r="P184" s="205"/>
      <c r="Q184" s="205"/>
    </row>
    <row r="185" spans="1:20">
      <c r="F185" s="244" t="s">
        <v>275</v>
      </c>
      <c r="G185" s="328"/>
      <c r="H185" s="319"/>
      <c r="I185" s="324" t="s">
        <v>1</v>
      </c>
      <c r="J185" s="319"/>
      <c r="K185" s="319"/>
      <c r="L185" s="236">
        <f>SUM(J185:J185)</f>
        <v>0</v>
      </c>
      <c r="M185" s="236" t="e">
        <f>#REF!-#REF!</f>
        <v>#REF!</v>
      </c>
      <c r="N185" s="235"/>
      <c r="O185" s="205"/>
      <c r="P185" s="205"/>
      <c r="Q185" s="205"/>
    </row>
    <row r="186" spans="1:20">
      <c r="A186" s="124">
        <v>26000</v>
      </c>
      <c r="B186" s="126" t="s">
        <v>197</v>
      </c>
      <c r="C186" s="125">
        <v>12</v>
      </c>
      <c r="D186" s="125">
        <v>15</v>
      </c>
      <c r="E186" s="125">
        <v>11</v>
      </c>
      <c r="F186" s="245" t="s">
        <v>193</v>
      </c>
      <c r="G186" s="328">
        <v>0</v>
      </c>
      <c r="H186" s="319">
        <v>15012000</v>
      </c>
      <c r="I186" s="324" t="s">
        <v>1</v>
      </c>
      <c r="J186" s="319">
        <v>15012000</v>
      </c>
      <c r="K186" s="319">
        <f t="shared" ref="K186:K187" si="48">J186-H186</f>
        <v>0</v>
      </c>
      <c r="L186" s="236"/>
      <c r="M186" s="236"/>
      <c r="N186" s="235"/>
      <c r="O186" s="233">
        <v>15012000</v>
      </c>
      <c r="P186" s="233">
        <v>15012000</v>
      </c>
      <c r="Q186" s="233">
        <v>15012000</v>
      </c>
    </row>
    <row r="187" spans="1:20" ht="13.5" thickBot="1">
      <c r="A187" s="136">
        <v>26000</v>
      </c>
      <c r="B187" s="134" t="s">
        <v>197</v>
      </c>
      <c r="C187" s="125">
        <v>12</v>
      </c>
      <c r="D187" s="125">
        <v>99</v>
      </c>
      <c r="E187" s="125">
        <v>99</v>
      </c>
      <c r="F187" s="245" t="s">
        <v>192</v>
      </c>
      <c r="G187" s="325">
        <v>50750000</v>
      </c>
      <c r="H187" s="325">
        <v>15000000</v>
      </c>
      <c r="I187" s="324">
        <v>36292785.579999998</v>
      </c>
      <c r="J187" s="325">
        <v>15000000</v>
      </c>
      <c r="K187" s="319">
        <f t="shared" si="48"/>
        <v>0</v>
      </c>
      <c r="L187" s="238"/>
      <c r="M187" s="238" t="e">
        <f>M159+M170+#REF!</f>
        <v>#REF!</v>
      </c>
      <c r="N187" s="235"/>
      <c r="O187" s="460">
        <v>15000000</v>
      </c>
      <c r="P187" s="460">
        <v>15000000</v>
      </c>
      <c r="Q187" s="460">
        <v>15000000</v>
      </c>
    </row>
    <row r="188" spans="1:20" ht="13.5" thickBot="1">
      <c r="A188" s="136"/>
      <c r="B188" s="134"/>
      <c r="F188" s="499" t="s">
        <v>277</v>
      </c>
      <c r="G188" s="503">
        <f>SUM(G186:G187)</f>
        <v>50750000</v>
      </c>
      <c r="H188" s="461">
        <f>SUM(H186:H187)</f>
        <v>30012000</v>
      </c>
      <c r="I188" s="461">
        <f>SUM(I186:I187)</f>
        <v>36292785.579999998</v>
      </c>
      <c r="J188" s="461">
        <f t="shared" ref="J188" si="49">SUM(J186:J187)</f>
        <v>30012000</v>
      </c>
      <c r="K188" s="461">
        <f>SUM(K186:K187)</f>
        <v>0</v>
      </c>
      <c r="L188" s="462">
        <f t="shared" ref="L188:Q188" si="50">SUM(L186:L187)</f>
        <v>0</v>
      </c>
      <c r="M188" s="462" t="e">
        <f t="shared" si="50"/>
        <v>#REF!</v>
      </c>
      <c r="N188" s="463">
        <f t="shared" si="50"/>
        <v>0</v>
      </c>
      <c r="O188" s="462">
        <f t="shared" si="50"/>
        <v>30012000</v>
      </c>
      <c r="P188" s="462">
        <f t="shared" si="50"/>
        <v>30012000</v>
      </c>
      <c r="Q188" s="462">
        <f t="shared" si="50"/>
        <v>30012000</v>
      </c>
    </row>
    <row r="189" spans="1:20">
      <c r="A189" s="136"/>
      <c r="B189" s="134"/>
      <c r="F189" s="245"/>
      <c r="G189" s="464"/>
      <c r="H189" s="325"/>
      <c r="I189" s="325" t="s">
        <v>1</v>
      </c>
      <c r="J189" s="319"/>
      <c r="K189" s="319"/>
      <c r="L189" s="238"/>
      <c r="M189" s="238"/>
      <c r="N189" s="235"/>
      <c r="O189" s="205"/>
      <c r="P189" s="205"/>
      <c r="Q189" s="205"/>
    </row>
    <row r="190" spans="1:20">
      <c r="F190" s="244" t="s">
        <v>276</v>
      </c>
      <c r="G190" s="328"/>
      <c r="H190" s="328"/>
      <c r="I190" s="319" t="s">
        <v>1</v>
      </c>
      <c r="J190" s="319"/>
      <c r="K190" s="319"/>
      <c r="L190" s="236"/>
      <c r="M190" s="236"/>
      <c r="N190" s="235"/>
      <c r="O190" s="205"/>
      <c r="P190" s="205"/>
      <c r="Q190" s="205"/>
    </row>
    <row r="191" spans="1:20" ht="25.5">
      <c r="A191" s="136">
        <v>26000</v>
      </c>
      <c r="B191" s="134">
        <v>356</v>
      </c>
      <c r="C191" s="132">
        <v>12</v>
      </c>
      <c r="D191" s="132">
        <v>10</v>
      </c>
      <c r="E191" s="126" t="s">
        <v>209</v>
      </c>
      <c r="F191" s="245" t="s">
        <v>230</v>
      </c>
      <c r="G191" s="319">
        <v>20000000</v>
      </c>
      <c r="H191" s="319">
        <v>1000000</v>
      </c>
      <c r="I191" s="319" t="s">
        <v>1</v>
      </c>
      <c r="J191" s="319">
        <v>1000000</v>
      </c>
      <c r="K191" s="319">
        <f t="shared" ref="K191:K192" si="51">J191-H191</f>
        <v>0</v>
      </c>
      <c r="L191" s="236"/>
      <c r="M191" s="236"/>
      <c r="N191" s="235"/>
      <c r="O191" s="233">
        <v>1000000</v>
      </c>
      <c r="P191" s="233">
        <v>1000000</v>
      </c>
      <c r="Q191" s="233">
        <v>1000000</v>
      </c>
    </row>
    <row r="192" spans="1:20" ht="13.5" thickBot="1">
      <c r="A192" s="124">
        <v>26000</v>
      </c>
      <c r="B192" s="126">
        <v>356</v>
      </c>
      <c r="C192" s="125">
        <v>12</v>
      </c>
      <c r="D192" s="125">
        <v>15</v>
      </c>
      <c r="E192" s="126" t="s">
        <v>216</v>
      </c>
      <c r="F192" s="245" t="s">
        <v>231</v>
      </c>
      <c r="G192" s="319">
        <v>201000000</v>
      </c>
      <c r="H192" s="319">
        <v>3500000</v>
      </c>
      <c r="I192" s="319" t="s">
        <v>1</v>
      </c>
      <c r="J192" s="319">
        <v>3500000</v>
      </c>
      <c r="K192" s="319">
        <f t="shared" si="51"/>
        <v>0</v>
      </c>
      <c r="L192" s="236"/>
      <c r="M192" s="236"/>
      <c r="N192" s="235"/>
      <c r="O192" s="233">
        <v>3500000</v>
      </c>
      <c r="P192" s="233">
        <v>3500000</v>
      </c>
      <c r="Q192" s="233">
        <v>3500000</v>
      </c>
    </row>
    <row r="193" spans="1:17" s="125" customFormat="1" ht="13.5" thickBot="1">
      <c r="A193" s="124"/>
      <c r="F193" s="499" t="s">
        <v>278</v>
      </c>
      <c r="G193" s="497">
        <f>SUM(G191:G192)</f>
        <v>221000000</v>
      </c>
      <c r="H193" s="322">
        <f>SUM(H191:H192)</f>
        <v>4500000</v>
      </c>
      <c r="I193" s="322">
        <f>SUM(I191:I192)</f>
        <v>0</v>
      </c>
      <c r="J193" s="322">
        <f t="shared" ref="J193" si="52">SUM(J191:J192)</f>
        <v>4500000</v>
      </c>
      <c r="K193" s="456">
        <f t="shared" ref="K193:Q193" si="53">SUM(K191:K192)</f>
        <v>0</v>
      </c>
      <c r="L193" s="465">
        <f t="shared" si="53"/>
        <v>0</v>
      </c>
      <c r="M193" s="465">
        <f t="shared" si="53"/>
        <v>0</v>
      </c>
      <c r="N193" s="466">
        <f t="shared" si="53"/>
        <v>0</v>
      </c>
      <c r="O193" s="465">
        <f t="shared" si="53"/>
        <v>4500000</v>
      </c>
      <c r="P193" s="465">
        <f t="shared" si="53"/>
        <v>4500000</v>
      </c>
      <c r="Q193" s="465">
        <f t="shared" si="53"/>
        <v>4500000</v>
      </c>
    </row>
    <row r="194" spans="1:17">
      <c r="F194" s="245"/>
      <c r="G194" s="328"/>
      <c r="H194" s="319"/>
      <c r="I194" s="319" t="s">
        <v>1</v>
      </c>
      <c r="J194" s="319"/>
      <c r="K194" s="319"/>
      <c r="L194" s="236"/>
      <c r="M194" s="236"/>
      <c r="N194" s="235"/>
      <c r="O194" s="205"/>
      <c r="P194" s="205"/>
      <c r="Q194" s="205"/>
    </row>
    <row r="195" spans="1:17">
      <c r="F195" s="244" t="s">
        <v>59</v>
      </c>
      <c r="G195" s="328"/>
      <c r="H195" s="319"/>
      <c r="I195" s="319" t="s">
        <v>1</v>
      </c>
      <c r="J195" s="319"/>
      <c r="K195" s="319"/>
      <c r="L195" s="236">
        <f>SUM(J195:J195)</f>
        <v>0</v>
      </c>
      <c r="M195" s="236" t="e">
        <f>#REF!-#REF!</f>
        <v>#REF!</v>
      </c>
      <c r="N195" s="235"/>
      <c r="O195" s="205"/>
      <c r="P195" s="205"/>
      <c r="Q195" s="205"/>
    </row>
    <row r="196" spans="1:17">
      <c r="A196" s="124">
        <v>26022</v>
      </c>
      <c r="B196" s="126" t="s">
        <v>197</v>
      </c>
      <c r="C196" s="125">
        <v>12</v>
      </c>
      <c r="D196" s="125">
        <v>11</v>
      </c>
      <c r="E196" s="126" t="s">
        <v>216</v>
      </c>
      <c r="F196" s="245" t="s">
        <v>60</v>
      </c>
      <c r="G196" s="319">
        <v>425000000</v>
      </c>
      <c r="H196" s="319">
        <v>482369000</v>
      </c>
      <c r="I196" s="319">
        <v>29748000</v>
      </c>
      <c r="J196" s="319">
        <v>35000000</v>
      </c>
      <c r="K196" s="319">
        <f t="shared" ref="K196:K201" si="54">J196-H196</f>
        <v>-447369000</v>
      </c>
      <c r="L196" s="236"/>
      <c r="M196" s="236"/>
      <c r="N196" s="235"/>
      <c r="O196" s="205"/>
      <c r="P196" s="205"/>
      <c r="Q196" s="205"/>
    </row>
    <row r="197" spans="1:17">
      <c r="A197" s="124">
        <v>26022</v>
      </c>
      <c r="B197" s="126" t="s">
        <v>197</v>
      </c>
      <c r="C197" s="125">
        <v>12</v>
      </c>
      <c r="D197" s="125">
        <v>11</v>
      </c>
      <c r="E197" s="126" t="s">
        <v>222</v>
      </c>
      <c r="F197" s="261" t="s">
        <v>559</v>
      </c>
      <c r="G197" s="319">
        <v>0</v>
      </c>
      <c r="H197" s="319">
        <v>461000000</v>
      </c>
      <c r="I197" s="319">
        <v>151629000</v>
      </c>
      <c r="J197" s="319">
        <f>(I197/9)*11</f>
        <v>185324333.33333334</v>
      </c>
      <c r="K197" s="319">
        <f t="shared" si="54"/>
        <v>-275675666.66666663</v>
      </c>
      <c r="L197" s="236"/>
      <c r="M197" s="236"/>
      <c r="N197" s="235"/>
      <c r="O197" s="205"/>
      <c r="P197" s="205"/>
      <c r="Q197" s="205"/>
    </row>
    <row r="198" spans="1:17">
      <c r="A198" s="124">
        <v>26022</v>
      </c>
      <c r="B198" s="126" t="s">
        <v>197</v>
      </c>
      <c r="C198" s="125">
        <v>12</v>
      </c>
      <c r="D198" s="126" t="s">
        <v>209</v>
      </c>
      <c r="E198" s="126" t="s">
        <v>227</v>
      </c>
      <c r="F198" s="245" t="s">
        <v>61</v>
      </c>
      <c r="G198" s="319">
        <v>0</v>
      </c>
      <c r="H198" s="319"/>
      <c r="I198" s="319" t="s">
        <v>1</v>
      </c>
      <c r="J198" s="319"/>
      <c r="K198" s="319">
        <f t="shared" si="54"/>
        <v>0</v>
      </c>
      <c r="L198" s="236"/>
      <c r="M198" s="236"/>
      <c r="N198" s="235"/>
      <c r="O198" s="205"/>
      <c r="P198" s="205"/>
      <c r="Q198" s="205"/>
    </row>
    <row r="199" spans="1:17">
      <c r="A199" s="124">
        <v>26022</v>
      </c>
      <c r="B199" s="126" t="s">
        <v>197</v>
      </c>
      <c r="C199" s="125">
        <v>12</v>
      </c>
      <c r="D199" s="126" t="s">
        <v>209</v>
      </c>
      <c r="E199" s="126" t="s">
        <v>232</v>
      </c>
      <c r="F199" s="245" t="s">
        <v>62</v>
      </c>
      <c r="G199" s="319">
        <v>0</v>
      </c>
      <c r="H199" s="319"/>
      <c r="I199" s="319" t="s">
        <v>1</v>
      </c>
      <c r="J199" s="319"/>
      <c r="K199" s="319">
        <f t="shared" si="54"/>
        <v>0</v>
      </c>
      <c r="L199" s="236">
        <f>SUM(J199:J199)</f>
        <v>0</v>
      </c>
      <c r="M199" s="236" t="e">
        <f>#REF!-#REF!</f>
        <v>#REF!</v>
      </c>
      <c r="N199" s="235"/>
      <c r="O199" s="205"/>
      <c r="P199" s="205"/>
      <c r="Q199" s="205"/>
    </row>
    <row r="200" spans="1:17">
      <c r="A200" s="124">
        <v>26022</v>
      </c>
      <c r="B200" s="126" t="s">
        <v>197</v>
      </c>
      <c r="C200" s="125">
        <v>12</v>
      </c>
      <c r="D200" s="125">
        <v>11</v>
      </c>
      <c r="E200" s="126" t="s">
        <v>208</v>
      </c>
      <c r="F200" s="245" t="s">
        <v>63</v>
      </c>
      <c r="G200" s="319">
        <v>33612000</v>
      </c>
      <c r="H200" s="319">
        <v>18687000</v>
      </c>
      <c r="I200" s="319">
        <v>3000</v>
      </c>
      <c r="J200" s="319">
        <v>24772450</v>
      </c>
      <c r="K200" s="319">
        <f t="shared" si="54"/>
        <v>6085450</v>
      </c>
      <c r="L200" s="236">
        <f>SUM(J200:J200)</f>
        <v>24772450</v>
      </c>
      <c r="M200" s="236" t="e">
        <f>#REF!-#REF!</f>
        <v>#REF!</v>
      </c>
      <c r="N200" s="235"/>
      <c r="O200" s="205"/>
      <c r="P200" s="205"/>
      <c r="Q200" s="205"/>
    </row>
    <row r="201" spans="1:17" ht="13.5" thickBot="1">
      <c r="A201" s="124">
        <v>26022</v>
      </c>
      <c r="B201" s="126" t="s">
        <v>197</v>
      </c>
      <c r="C201" s="125">
        <v>12</v>
      </c>
      <c r="D201" s="125">
        <v>99</v>
      </c>
      <c r="E201" s="125">
        <v>99</v>
      </c>
      <c r="F201" s="245" t="s">
        <v>32</v>
      </c>
      <c r="G201" s="319">
        <v>76650000</v>
      </c>
      <c r="H201" s="319">
        <v>31173880</v>
      </c>
      <c r="I201" s="319">
        <v>29927435.43</v>
      </c>
      <c r="J201" s="319">
        <v>48766371.5</v>
      </c>
      <c r="K201" s="319">
        <f t="shared" si="54"/>
        <v>17592491.5</v>
      </c>
      <c r="L201" s="236">
        <f>SUM(J201:J201)</f>
        <v>48766371.5</v>
      </c>
      <c r="M201" s="236" t="e">
        <f>#REF!-#REF!</f>
        <v>#REF!</v>
      </c>
      <c r="N201" s="235"/>
      <c r="O201" s="205"/>
      <c r="P201" s="205"/>
      <c r="Q201" s="205"/>
    </row>
    <row r="202" spans="1:17" ht="13.5" thickBot="1">
      <c r="B202" s="126"/>
      <c r="F202" s="499" t="s">
        <v>279</v>
      </c>
      <c r="G202" s="504">
        <f>SUM(G196:G201)</f>
        <v>535262000</v>
      </c>
      <c r="H202" s="457">
        <f>SUM(H196:H201)</f>
        <v>993229880</v>
      </c>
      <c r="I202" s="457">
        <f>SUM(I196:I201)</f>
        <v>211307435.43000001</v>
      </c>
      <c r="J202" s="457">
        <f t="shared" ref="J202" si="55">SUM(J196:J201)</f>
        <v>293863154.83333337</v>
      </c>
      <c r="K202" s="457">
        <f t="shared" ref="K202:Q202" si="56">SUM(K196:K201)</f>
        <v>-699366725.16666663</v>
      </c>
      <c r="L202" s="458">
        <f t="shared" si="56"/>
        <v>73538821.5</v>
      </c>
      <c r="M202" s="458" t="e">
        <f t="shared" si="56"/>
        <v>#REF!</v>
      </c>
      <c r="N202" s="459">
        <f t="shared" si="56"/>
        <v>0</v>
      </c>
      <c r="O202" s="458">
        <f t="shared" si="56"/>
        <v>0</v>
      </c>
      <c r="P202" s="458">
        <f t="shared" si="56"/>
        <v>0</v>
      </c>
      <c r="Q202" s="458">
        <f t="shared" si="56"/>
        <v>0</v>
      </c>
    </row>
    <row r="203" spans="1:17">
      <c r="B203" s="126"/>
      <c r="F203" s="245"/>
      <c r="G203" s="467"/>
      <c r="H203" s="324"/>
      <c r="I203" s="324" t="s">
        <v>1</v>
      </c>
      <c r="J203" s="324"/>
      <c r="K203" s="319"/>
      <c r="L203" s="236"/>
      <c r="M203" s="237"/>
      <c r="N203" s="235"/>
      <c r="O203" s="205"/>
      <c r="P203" s="205"/>
      <c r="Q203" s="205"/>
    </row>
    <row r="204" spans="1:17">
      <c r="F204" s="244" t="s">
        <v>64</v>
      </c>
      <c r="G204" s="328"/>
      <c r="H204" s="319"/>
      <c r="I204" s="319" t="s">
        <v>1</v>
      </c>
      <c r="J204" s="319"/>
      <c r="K204" s="319"/>
      <c r="L204" s="236"/>
      <c r="M204" s="236"/>
      <c r="N204" s="235"/>
      <c r="O204" s="205"/>
      <c r="P204" s="205"/>
      <c r="Q204" s="205"/>
    </row>
    <row r="205" spans="1:17" ht="13.5" thickBot="1">
      <c r="A205" s="124">
        <v>26024</v>
      </c>
      <c r="B205" s="126" t="s">
        <v>197</v>
      </c>
      <c r="C205" s="125">
        <v>12</v>
      </c>
      <c r="D205" s="126" t="s">
        <v>210</v>
      </c>
      <c r="E205" s="125">
        <v>25</v>
      </c>
      <c r="F205" s="245" t="s">
        <v>233</v>
      </c>
      <c r="G205" s="319">
        <v>900000</v>
      </c>
      <c r="H205" s="319">
        <v>1222000</v>
      </c>
      <c r="I205" s="319">
        <v>2177544.34</v>
      </c>
      <c r="J205" s="319">
        <v>1222000</v>
      </c>
      <c r="K205" s="319">
        <f t="shared" ref="K205" si="57">J205-H205</f>
        <v>0</v>
      </c>
      <c r="L205" s="236"/>
      <c r="M205" s="236"/>
      <c r="N205" s="235"/>
      <c r="O205" s="205">
        <v>12000000</v>
      </c>
      <c r="P205" s="205">
        <v>12000000</v>
      </c>
      <c r="Q205" s="205">
        <v>12000000</v>
      </c>
    </row>
    <row r="206" spans="1:17" ht="26.25" thickBot="1">
      <c r="B206" s="126"/>
      <c r="D206" s="126"/>
      <c r="F206" s="499" t="s">
        <v>65</v>
      </c>
      <c r="G206" s="497">
        <f>SUM(G205)</f>
        <v>900000</v>
      </c>
      <c r="H206" s="322">
        <f>SUM(H205)</f>
        <v>1222000</v>
      </c>
      <c r="I206" s="322">
        <f>SUM(I205)</f>
        <v>2177544.34</v>
      </c>
      <c r="J206" s="322">
        <f t="shared" ref="J206" si="58">SUM(J205)</f>
        <v>1222000</v>
      </c>
      <c r="K206" s="322">
        <f t="shared" ref="K206:Q206" si="59">SUM(K205)</f>
        <v>0</v>
      </c>
      <c r="L206" s="239">
        <f t="shared" si="59"/>
        <v>0</v>
      </c>
      <c r="M206" s="239">
        <f t="shared" si="59"/>
        <v>0</v>
      </c>
      <c r="N206" s="254">
        <f t="shared" si="59"/>
        <v>0</v>
      </c>
      <c r="O206" s="239">
        <f t="shared" si="59"/>
        <v>12000000</v>
      </c>
      <c r="P206" s="239">
        <f t="shared" si="59"/>
        <v>12000000</v>
      </c>
      <c r="Q206" s="239">
        <f t="shared" si="59"/>
        <v>12000000</v>
      </c>
    </row>
    <row r="207" spans="1:17">
      <c r="F207" s="245"/>
      <c r="G207" s="328"/>
      <c r="H207" s="319"/>
      <c r="I207" s="319" t="s">
        <v>1</v>
      </c>
      <c r="J207" s="319"/>
      <c r="K207" s="319"/>
      <c r="L207" s="236">
        <f>SUM(J207:J207)</f>
        <v>0</v>
      </c>
      <c r="M207" s="236" t="e">
        <f>#REF!-#REF!</f>
        <v>#REF!</v>
      </c>
      <c r="N207" s="235"/>
      <c r="O207" s="205"/>
      <c r="P207" s="205"/>
      <c r="Q207" s="205"/>
    </row>
    <row r="208" spans="1:17" ht="25.5">
      <c r="E208" s="132"/>
      <c r="F208" s="244" t="s">
        <v>66</v>
      </c>
      <c r="G208" s="328"/>
      <c r="H208" s="319"/>
      <c r="I208" s="319" t="s">
        <v>1</v>
      </c>
      <c r="J208" s="319"/>
      <c r="K208" s="319"/>
      <c r="L208" s="236">
        <f>SUM(J208:J208)</f>
        <v>0</v>
      </c>
      <c r="M208" s="236" t="e">
        <f>#REF!-#REF!</f>
        <v>#REF!</v>
      </c>
      <c r="N208" s="235"/>
      <c r="O208" s="205"/>
      <c r="P208" s="205"/>
      <c r="Q208" s="205"/>
    </row>
    <row r="209" spans="1:18">
      <c r="A209" s="124">
        <v>26053</v>
      </c>
      <c r="B209" s="125" t="s">
        <v>197</v>
      </c>
      <c r="C209" s="125">
        <v>12</v>
      </c>
      <c r="E209" s="132"/>
      <c r="F209" s="245" t="s">
        <v>498</v>
      </c>
      <c r="G209" s="319">
        <v>1907267275</v>
      </c>
      <c r="H209" s="319"/>
      <c r="I209" s="319" t="s">
        <v>1</v>
      </c>
      <c r="J209" s="319"/>
      <c r="K209" s="319">
        <f t="shared" ref="K209:K212" si="60">J209-H209</f>
        <v>0</v>
      </c>
      <c r="L209" s="236"/>
      <c r="M209" s="236"/>
      <c r="N209" s="235"/>
      <c r="O209" s="205"/>
      <c r="P209" s="205"/>
      <c r="Q209" s="205"/>
    </row>
    <row r="210" spans="1:18">
      <c r="A210" s="124">
        <v>26053</v>
      </c>
      <c r="B210" s="125" t="s">
        <v>197</v>
      </c>
      <c r="C210" s="125">
        <v>12</v>
      </c>
      <c r="E210" s="132"/>
      <c r="F210" s="245" t="s">
        <v>499</v>
      </c>
      <c r="G210" s="319">
        <v>72821634</v>
      </c>
      <c r="H210" s="319"/>
      <c r="I210" s="319" t="s">
        <v>1</v>
      </c>
      <c r="J210" s="319"/>
      <c r="K210" s="319">
        <f t="shared" si="60"/>
        <v>0</v>
      </c>
      <c r="L210" s="236"/>
      <c r="M210" s="236"/>
      <c r="N210" s="235"/>
      <c r="O210" s="205"/>
      <c r="P210" s="205"/>
      <c r="Q210" s="205"/>
    </row>
    <row r="211" spans="1:18">
      <c r="A211" s="124">
        <v>26053</v>
      </c>
      <c r="B211" s="125" t="s">
        <v>197</v>
      </c>
      <c r="C211" s="125">
        <v>12</v>
      </c>
      <c r="E211" s="132"/>
      <c r="F211" s="245" t="s">
        <v>500</v>
      </c>
      <c r="G211" s="319">
        <v>436251552</v>
      </c>
      <c r="H211" s="319"/>
      <c r="I211" s="319" t="s">
        <v>1</v>
      </c>
      <c r="J211" s="319"/>
      <c r="K211" s="319">
        <f t="shared" si="60"/>
        <v>0</v>
      </c>
      <c r="L211" s="236"/>
      <c r="M211" s="236"/>
      <c r="N211" s="235"/>
      <c r="O211" s="205"/>
      <c r="P211" s="205"/>
      <c r="Q211" s="205"/>
    </row>
    <row r="212" spans="1:18" ht="13.5" thickBot="1">
      <c r="A212" s="124">
        <v>26053</v>
      </c>
      <c r="B212" s="125" t="s">
        <v>197</v>
      </c>
      <c r="C212" s="125">
        <v>12</v>
      </c>
      <c r="D212" s="125">
        <v>99</v>
      </c>
      <c r="E212" s="132">
        <v>99</v>
      </c>
      <c r="F212" s="245" t="s">
        <v>202</v>
      </c>
      <c r="G212" s="319">
        <v>170000000</v>
      </c>
      <c r="H212" s="319"/>
      <c r="I212" s="319" t="s">
        <v>1</v>
      </c>
      <c r="J212" s="319"/>
      <c r="K212" s="319">
        <f t="shared" si="60"/>
        <v>0</v>
      </c>
      <c r="L212" s="236"/>
      <c r="M212" s="236"/>
      <c r="N212" s="235"/>
      <c r="O212" s="205"/>
      <c r="P212" s="205"/>
      <c r="Q212" s="205"/>
    </row>
    <row r="213" spans="1:18" ht="26.25" thickBot="1">
      <c r="B213" s="126"/>
      <c r="F213" s="499" t="s">
        <v>454</v>
      </c>
      <c r="G213" s="496">
        <f>SUM(G209:G212)</f>
        <v>2586340461</v>
      </c>
      <c r="H213" s="449">
        <f>SUM(H209:H212)</f>
        <v>0</v>
      </c>
      <c r="I213" s="449">
        <f>SUM(I209:I212)</f>
        <v>0</v>
      </c>
      <c r="J213" s="449">
        <f t="shared" ref="J213" si="61">SUM(J209:J212)</f>
        <v>0</v>
      </c>
      <c r="K213" s="449">
        <f t="shared" ref="K213:Q213" si="62">SUM(K209:K212)</f>
        <v>0</v>
      </c>
      <c r="L213" s="450">
        <f t="shared" si="62"/>
        <v>0</v>
      </c>
      <c r="M213" s="450">
        <f t="shared" si="62"/>
        <v>0</v>
      </c>
      <c r="N213" s="451">
        <f t="shared" si="62"/>
        <v>0</v>
      </c>
      <c r="O213" s="450">
        <f t="shared" si="62"/>
        <v>0</v>
      </c>
      <c r="P213" s="450">
        <f t="shared" si="62"/>
        <v>0</v>
      </c>
      <c r="Q213" s="450">
        <f t="shared" si="62"/>
        <v>0</v>
      </c>
      <c r="R213" s="1" t="s">
        <v>552</v>
      </c>
    </row>
    <row r="214" spans="1:18">
      <c r="F214" s="245"/>
      <c r="G214" s="328"/>
      <c r="H214" s="319"/>
      <c r="I214" s="324" t="s">
        <v>1</v>
      </c>
      <c r="J214" s="319" t="s">
        <v>1</v>
      </c>
      <c r="K214" s="319"/>
      <c r="L214" s="236"/>
      <c r="M214" s="236"/>
      <c r="N214" s="235"/>
      <c r="O214" s="205"/>
      <c r="P214" s="205"/>
      <c r="Q214" s="205"/>
    </row>
    <row r="215" spans="1:18">
      <c r="F215" s="265" t="s">
        <v>67</v>
      </c>
      <c r="G215" s="328"/>
      <c r="H215" s="319"/>
      <c r="I215" s="319" t="s">
        <v>1</v>
      </c>
      <c r="J215" s="319"/>
      <c r="K215" s="319"/>
      <c r="L215" s="236">
        <f>SUM(L207:L214)</f>
        <v>0</v>
      </c>
      <c r="M215" s="236" t="e">
        <f>SUM(M207:M208)</f>
        <v>#REF!</v>
      </c>
      <c r="N215" s="235"/>
      <c r="O215" s="205"/>
      <c r="P215" s="205"/>
      <c r="Q215" s="205"/>
    </row>
    <row r="216" spans="1:18">
      <c r="A216" s="124">
        <v>28000</v>
      </c>
      <c r="B216" s="126" t="s">
        <v>197</v>
      </c>
      <c r="C216" s="125">
        <v>12</v>
      </c>
      <c r="D216" s="126" t="s">
        <v>210</v>
      </c>
      <c r="E216" s="126" t="s">
        <v>209</v>
      </c>
      <c r="F216" s="245" t="s">
        <v>68</v>
      </c>
      <c r="G216" s="319">
        <v>225578000</v>
      </c>
      <c r="H216" s="319">
        <v>153228728</v>
      </c>
      <c r="I216" s="319" t="s">
        <v>1</v>
      </c>
      <c r="J216" s="319">
        <v>150000000</v>
      </c>
      <c r="K216" s="319">
        <f t="shared" ref="K216:K221" si="63">J216-H216</f>
        <v>-3228728</v>
      </c>
      <c r="L216" s="236"/>
      <c r="M216" s="236"/>
      <c r="N216" s="235"/>
      <c r="O216" s="205">
        <v>485858434</v>
      </c>
      <c r="P216" s="205">
        <v>490465318</v>
      </c>
      <c r="Q216" s="205">
        <v>490465318</v>
      </c>
    </row>
    <row r="217" spans="1:18">
      <c r="A217" s="124">
        <v>28000</v>
      </c>
      <c r="B217" s="126" t="s">
        <v>197</v>
      </c>
      <c r="C217" s="125">
        <v>12</v>
      </c>
      <c r="D217" s="126" t="s">
        <v>210</v>
      </c>
      <c r="E217" s="126" t="s">
        <v>232</v>
      </c>
      <c r="F217" s="245" t="s">
        <v>69</v>
      </c>
      <c r="G217" s="319">
        <v>366000</v>
      </c>
      <c r="H217" s="319">
        <v>1442362</v>
      </c>
      <c r="I217" s="319">
        <v>16500</v>
      </c>
      <c r="J217" s="319"/>
      <c r="K217" s="319">
        <f t="shared" si="63"/>
        <v>-1442362</v>
      </c>
      <c r="L217" s="236"/>
      <c r="M217" s="236"/>
      <c r="N217" s="235"/>
      <c r="O217" s="205"/>
      <c r="P217" s="205"/>
      <c r="Q217" s="205"/>
    </row>
    <row r="218" spans="1:18">
      <c r="A218" s="124">
        <v>28000</v>
      </c>
      <c r="B218" s="126" t="s">
        <v>197</v>
      </c>
      <c r="C218" s="125">
        <v>12</v>
      </c>
      <c r="D218" s="125">
        <v>16</v>
      </c>
      <c r="E218" s="125">
        <v>21</v>
      </c>
      <c r="F218" s="261" t="s">
        <v>70</v>
      </c>
      <c r="G218" s="319">
        <v>0</v>
      </c>
      <c r="H218" s="319"/>
      <c r="I218" s="319" t="s">
        <v>1</v>
      </c>
      <c r="J218" s="319"/>
      <c r="K218" s="319">
        <f t="shared" si="63"/>
        <v>0</v>
      </c>
      <c r="L218" s="236"/>
      <c r="M218" s="236"/>
      <c r="N218" s="235"/>
      <c r="O218" s="205"/>
      <c r="P218" s="205"/>
      <c r="Q218" s="205"/>
    </row>
    <row r="219" spans="1:18">
      <c r="A219" s="124">
        <v>28000</v>
      </c>
      <c r="B219" s="126" t="s">
        <v>197</v>
      </c>
      <c r="C219" s="125">
        <v>12</v>
      </c>
      <c r="D219" s="126" t="s">
        <v>210</v>
      </c>
      <c r="E219" s="125">
        <v>18</v>
      </c>
      <c r="F219" s="245" t="s">
        <v>71</v>
      </c>
      <c r="G219" s="319">
        <v>0</v>
      </c>
      <c r="H219" s="319"/>
      <c r="I219" s="319" t="s">
        <v>1</v>
      </c>
      <c r="J219" s="319" t="s">
        <v>555</v>
      </c>
      <c r="K219" s="319">
        <v>0</v>
      </c>
      <c r="L219" s="236">
        <f>SUM(J219:J219)</f>
        <v>0</v>
      </c>
      <c r="M219" s="236" t="e">
        <f>#REF!-#REF!</f>
        <v>#REF!</v>
      </c>
      <c r="N219" s="235"/>
      <c r="O219" s="205"/>
      <c r="P219" s="205"/>
      <c r="Q219" s="205"/>
    </row>
    <row r="220" spans="1:18">
      <c r="A220" s="124">
        <v>28000</v>
      </c>
      <c r="B220" s="126" t="s">
        <v>197</v>
      </c>
      <c r="C220" s="125">
        <v>12</v>
      </c>
      <c r="D220" s="125">
        <v>11</v>
      </c>
      <c r="E220" s="132">
        <v>22</v>
      </c>
      <c r="F220" s="245" t="s">
        <v>72</v>
      </c>
      <c r="G220" s="319">
        <v>0</v>
      </c>
      <c r="H220" s="319"/>
      <c r="I220" s="319" t="s">
        <v>1</v>
      </c>
      <c r="J220" s="319"/>
      <c r="K220" s="319">
        <f t="shared" si="63"/>
        <v>0</v>
      </c>
      <c r="L220" s="236">
        <f>SUM(J220:J220)</f>
        <v>0</v>
      </c>
      <c r="M220" s="236" t="e">
        <f>#REF!-#REF!</f>
        <v>#REF!</v>
      </c>
      <c r="N220" s="235"/>
      <c r="O220" s="205"/>
      <c r="P220" s="205"/>
      <c r="Q220" s="205"/>
    </row>
    <row r="221" spans="1:18">
      <c r="A221" s="124">
        <v>28000</v>
      </c>
      <c r="B221" s="126" t="s">
        <v>197</v>
      </c>
      <c r="C221" s="125">
        <v>12</v>
      </c>
      <c r="D221" s="125">
        <v>99</v>
      </c>
      <c r="E221" s="132">
        <v>99</v>
      </c>
      <c r="F221" s="245" t="s">
        <v>32</v>
      </c>
      <c r="G221" s="319">
        <v>184517000</v>
      </c>
      <c r="H221" s="319">
        <v>176048500</v>
      </c>
      <c r="I221" s="319">
        <v>83465877.230000004</v>
      </c>
      <c r="J221" s="319">
        <v>152259465</v>
      </c>
      <c r="K221" s="319">
        <f t="shared" si="63"/>
        <v>-23789035</v>
      </c>
      <c r="L221" s="236">
        <f>SUM(J221:J221)</f>
        <v>152259465</v>
      </c>
      <c r="M221" s="236" t="e">
        <f>#REF!-#REF!</f>
        <v>#REF!</v>
      </c>
      <c r="N221" s="235"/>
      <c r="O221" s="205">
        <v>152259465</v>
      </c>
      <c r="P221" s="205">
        <v>234119434</v>
      </c>
      <c r="Q221" s="205">
        <v>234119434</v>
      </c>
    </row>
    <row r="222" spans="1:18" ht="13.5" thickBot="1">
      <c r="A222" s="124">
        <v>28001</v>
      </c>
      <c r="B222" s="126" t="s">
        <v>258</v>
      </c>
      <c r="C222" s="125">
        <v>12</v>
      </c>
      <c r="D222" s="125">
        <v>16</v>
      </c>
      <c r="E222" s="134" t="s">
        <v>222</v>
      </c>
      <c r="F222" s="245" t="s">
        <v>236</v>
      </c>
      <c r="G222" s="319">
        <v>0</v>
      </c>
      <c r="H222" s="319"/>
      <c r="I222" s="319" t="s">
        <v>1</v>
      </c>
      <c r="J222" s="319"/>
      <c r="K222" s="319"/>
      <c r="L222" s="236"/>
      <c r="M222" s="236"/>
      <c r="N222" s="235"/>
      <c r="O222" s="205"/>
      <c r="P222" s="205"/>
      <c r="Q222" s="205"/>
    </row>
    <row r="223" spans="1:18" ht="13.5" thickBot="1">
      <c r="E223" s="132"/>
      <c r="F223" s="500" t="s">
        <v>280</v>
      </c>
      <c r="G223" s="497">
        <f>SUM(G216:G222)</f>
        <v>410461000</v>
      </c>
      <c r="H223" s="322">
        <f>SUM(H216:H222)</f>
        <v>330719590</v>
      </c>
      <c r="I223" s="322">
        <f>SUM(I216:I222)</f>
        <v>83482377.230000004</v>
      </c>
      <c r="J223" s="322">
        <f t="shared" ref="J223" si="64">SUM(J216:J222)</f>
        <v>302259465</v>
      </c>
      <c r="K223" s="322">
        <f t="shared" ref="K223:Q223" si="65">SUM(K216:K222)</f>
        <v>-28460125</v>
      </c>
      <c r="L223" s="239">
        <f t="shared" si="65"/>
        <v>152259465</v>
      </c>
      <c r="M223" s="239" t="e">
        <f t="shared" si="65"/>
        <v>#REF!</v>
      </c>
      <c r="N223" s="254">
        <f t="shared" si="65"/>
        <v>0</v>
      </c>
      <c r="O223" s="239">
        <f t="shared" si="65"/>
        <v>638117899</v>
      </c>
      <c r="P223" s="239">
        <f t="shared" si="65"/>
        <v>724584752</v>
      </c>
      <c r="Q223" s="239">
        <f t="shared" si="65"/>
        <v>724584752</v>
      </c>
    </row>
    <row r="224" spans="1:18">
      <c r="E224" s="132"/>
      <c r="F224" s="261"/>
      <c r="G224" s="328"/>
      <c r="H224" s="319"/>
      <c r="I224" s="319" t="s">
        <v>1</v>
      </c>
      <c r="J224" s="319"/>
      <c r="K224" s="319"/>
      <c r="L224" s="236"/>
      <c r="M224" s="236"/>
      <c r="N224" s="235"/>
      <c r="O224" s="205"/>
      <c r="P224" s="205"/>
      <c r="Q224" s="205"/>
    </row>
    <row r="225" spans="1:17">
      <c r="F225" s="265" t="s">
        <v>73</v>
      </c>
      <c r="G225" s="328"/>
      <c r="H225" s="319"/>
      <c r="I225" s="319" t="s">
        <v>1</v>
      </c>
      <c r="J225" s="319"/>
      <c r="K225" s="319"/>
      <c r="L225" s="236">
        <f>SUM(J225:J225)</f>
        <v>0</v>
      </c>
      <c r="M225" s="236" t="e">
        <f>#REF!-#REF!</f>
        <v>#REF!</v>
      </c>
      <c r="N225" s="235"/>
      <c r="O225" s="205"/>
      <c r="P225" s="205"/>
      <c r="Q225" s="205"/>
    </row>
    <row r="226" spans="1:17" ht="25.5">
      <c r="A226" s="124">
        <v>28032</v>
      </c>
      <c r="B226" s="126" t="s">
        <v>197</v>
      </c>
      <c r="C226" s="125">
        <v>12</v>
      </c>
      <c r="D226" s="125">
        <v>15</v>
      </c>
      <c r="E226" s="125">
        <v>13</v>
      </c>
      <c r="F226" s="261" t="s">
        <v>74</v>
      </c>
      <c r="G226" s="328"/>
      <c r="H226" s="319">
        <v>0</v>
      </c>
      <c r="I226" s="319" t="s">
        <v>1</v>
      </c>
      <c r="J226" s="319">
        <v>10000000</v>
      </c>
      <c r="K226" s="319">
        <f t="shared" ref="K226:K227" si="66">J226-H226</f>
        <v>10000000</v>
      </c>
      <c r="L226" s="236">
        <f>SUM(J226:J226)</f>
        <v>10000000</v>
      </c>
      <c r="M226" s="236" t="e">
        <f>#REF!-#REF!</f>
        <v>#REF!</v>
      </c>
      <c r="N226" s="235"/>
      <c r="O226" s="205"/>
      <c r="P226" s="205"/>
      <c r="Q226" s="205"/>
    </row>
    <row r="227" spans="1:17" ht="13.5" thickBot="1">
      <c r="A227" s="124">
        <v>28032</v>
      </c>
      <c r="B227" s="126" t="s">
        <v>197</v>
      </c>
      <c r="C227" s="125">
        <v>12</v>
      </c>
      <c r="D227" s="125">
        <v>15</v>
      </c>
      <c r="E227" s="125">
        <v>50</v>
      </c>
      <c r="F227" s="261" t="s">
        <v>343</v>
      </c>
      <c r="G227" s="319">
        <v>2000000</v>
      </c>
      <c r="H227" s="319"/>
      <c r="I227" s="319" t="s">
        <v>1</v>
      </c>
      <c r="J227" s="319">
        <v>2000000</v>
      </c>
      <c r="K227" s="319">
        <f t="shared" si="66"/>
        <v>2000000</v>
      </c>
      <c r="L227" s="236"/>
      <c r="M227" s="236"/>
      <c r="N227" s="235"/>
      <c r="O227" s="205"/>
      <c r="P227" s="205"/>
      <c r="Q227" s="205"/>
    </row>
    <row r="228" spans="1:17" ht="13.5" thickBot="1">
      <c r="F228" s="263" t="s">
        <v>355</v>
      </c>
      <c r="G228" s="322">
        <f>SUM(G226:G227)</f>
        <v>2000000</v>
      </c>
      <c r="H228" s="322">
        <f>SUM(H226:H227)</f>
        <v>0</v>
      </c>
      <c r="I228" s="322">
        <f>SUM(I226:I227)</f>
        <v>0</v>
      </c>
      <c r="J228" s="322">
        <f t="shared" ref="J228" si="67">SUM(J226:J227)</f>
        <v>12000000</v>
      </c>
      <c r="K228" s="322">
        <f t="shared" ref="K228:Q228" si="68">SUM(K226:K227)</f>
        <v>12000000</v>
      </c>
      <c r="L228" s="239">
        <f t="shared" si="68"/>
        <v>10000000</v>
      </c>
      <c r="M228" s="239" t="e">
        <f t="shared" si="68"/>
        <v>#REF!</v>
      </c>
      <c r="N228" s="254">
        <f t="shared" si="68"/>
        <v>0</v>
      </c>
      <c r="O228" s="239">
        <f t="shared" si="68"/>
        <v>0</v>
      </c>
      <c r="P228" s="239">
        <f t="shared" si="68"/>
        <v>0</v>
      </c>
      <c r="Q228" s="239">
        <f t="shared" si="68"/>
        <v>0</v>
      </c>
    </row>
    <row r="229" spans="1:17">
      <c r="F229" s="245"/>
      <c r="G229" s="328"/>
      <c r="H229" s="319"/>
      <c r="I229" s="319" t="s">
        <v>1</v>
      </c>
      <c r="J229" s="319"/>
      <c r="K229" s="319"/>
      <c r="L229" s="236"/>
      <c r="M229" s="236"/>
      <c r="N229" s="235"/>
      <c r="O229" s="205"/>
      <c r="P229" s="205"/>
      <c r="Q229" s="205"/>
    </row>
    <row r="230" spans="1:17" ht="25.5">
      <c r="F230" s="244" t="s">
        <v>75</v>
      </c>
      <c r="G230" s="328"/>
      <c r="H230" s="319"/>
      <c r="I230" s="319" t="s">
        <v>1</v>
      </c>
      <c r="J230" s="319"/>
      <c r="K230" s="319"/>
      <c r="L230" s="236">
        <f t="shared" ref="L230:L235" si="69">SUM(J230:J230)</f>
        <v>0</v>
      </c>
      <c r="M230" s="236" t="e">
        <f>#REF!-#REF!</f>
        <v>#REF!</v>
      </c>
      <c r="N230" s="235"/>
      <c r="O230" s="205"/>
      <c r="P230" s="205"/>
      <c r="Q230" s="205"/>
    </row>
    <row r="231" spans="1:17">
      <c r="A231" s="124">
        <v>30000</v>
      </c>
      <c r="B231" s="126" t="s">
        <v>197</v>
      </c>
      <c r="C231" s="125">
        <v>12</v>
      </c>
      <c r="D231" s="125">
        <v>12</v>
      </c>
      <c r="E231" s="134" t="s">
        <v>209</v>
      </c>
      <c r="F231" s="245" t="s">
        <v>76</v>
      </c>
      <c r="G231" s="319">
        <v>10203276</v>
      </c>
      <c r="H231" s="319">
        <v>2567463</v>
      </c>
      <c r="I231" s="319" t="s">
        <v>1</v>
      </c>
      <c r="J231" s="319">
        <v>2746448</v>
      </c>
      <c r="K231" s="319">
        <f t="shared" ref="K231:K236" si="70">J231-H231</f>
        <v>178985</v>
      </c>
      <c r="L231" s="236">
        <f t="shared" si="69"/>
        <v>2746448</v>
      </c>
      <c r="M231" s="236" t="e">
        <f>#REF!-#REF!</f>
        <v>#REF!</v>
      </c>
      <c r="N231" s="235"/>
      <c r="O231" s="205">
        <v>3096306</v>
      </c>
      <c r="P231" s="205">
        <v>3251121</v>
      </c>
      <c r="Q231" s="205">
        <v>3576177</v>
      </c>
    </row>
    <row r="232" spans="1:17">
      <c r="A232" s="124">
        <v>30000</v>
      </c>
      <c r="B232" s="126" t="s">
        <v>197</v>
      </c>
      <c r="C232" s="125">
        <v>12</v>
      </c>
      <c r="D232" s="125">
        <v>12</v>
      </c>
      <c r="E232" s="126" t="s">
        <v>216</v>
      </c>
      <c r="F232" s="245" t="s">
        <v>77</v>
      </c>
      <c r="G232" s="319">
        <v>6802184</v>
      </c>
      <c r="H232" s="319">
        <v>1711642</v>
      </c>
      <c r="I232" s="319">
        <v>1394328.81</v>
      </c>
      <c r="J232" s="319">
        <v>1830965</v>
      </c>
      <c r="K232" s="319">
        <f t="shared" si="70"/>
        <v>119323</v>
      </c>
      <c r="L232" s="236">
        <f t="shared" si="69"/>
        <v>1830965</v>
      </c>
      <c r="M232" s="236" t="e">
        <f>#REF!-#REF!</f>
        <v>#REF!</v>
      </c>
      <c r="N232" s="235"/>
      <c r="O232" s="205">
        <v>2064204</v>
      </c>
      <c r="P232" s="205">
        <v>2167414</v>
      </c>
      <c r="Q232" s="205">
        <v>2275785</v>
      </c>
    </row>
    <row r="233" spans="1:17">
      <c r="A233" s="124">
        <v>30000</v>
      </c>
      <c r="B233" s="126" t="s">
        <v>197</v>
      </c>
      <c r="C233" s="125">
        <v>12</v>
      </c>
      <c r="D233" s="125">
        <v>12</v>
      </c>
      <c r="E233" s="126" t="s">
        <v>208</v>
      </c>
      <c r="F233" s="245" t="s">
        <v>78</v>
      </c>
      <c r="G233" s="319">
        <v>1700546</v>
      </c>
      <c r="H233" s="319">
        <v>427911</v>
      </c>
      <c r="I233" s="319" t="s">
        <v>1</v>
      </c>
      <c r="J233" s="319">
        <v>457741</v>
      </c>
      <c r="K233" s="319">
        <f t="shared" si="70"/>
        <v>29830</v>
      </c>
      <c r="L233" s="236">
        <f t="shared" si="69"/>
        <v>457741</v>
      </c>
      <c r="M233" s="236" t="e">
        <f>#REF!-#REF!</f>
        <v>#REF!</v>
      </c>
      <c r="N233" s="235"/>
      <c r="O233" s="205">
        <v>516051</v>
      </c>
      <c r="P233" s="205">
        <v>541854</v>
      </c>
      <c r="Q233" s="205">
        <v>568946</v>
      </c>
    </row>
    <row r="234" spans="1:17">
      <c r="A234" s="124">
        <v>30000</v>
      </c>
      <c r="B234" s="126" t="s">
        <v>197</v>
      </c>
      <c r="C234" s="125">
        <v>12</v>
      </c>
      <c r="D234" s="125">
        <v>12</v>
      </c>
      <c r="E234" s="126" t="s">
        <v>222</v>
      </c>
      <c r="F234" s="245" t="s">
        <v>79</v>
      </c>
      <c r="G234" s="319">
        <v>9523058</v>
      </c>
      <c r="H234" s="319">
        <v>2396299</v>
      </c>
      <c r="I234" s="319">
        <v>171351.26</v>
      </c>
      <c r="J234" s="319">
        <v>2563351</v>
      </c>
      <c r="K234" s="319">
        <f t="shared" si="70"/>
        <v>167052</v>
      </c>
      <c r="L234" s="236">
        <f t="shared" si="69"/>
        <v>2563351</v>
      </c>
      <c r="M234" s="236" t="e">
        <f>#REF!-#REF!</f>
        <v>#REF!</v>
      </c>
      <c r="N234" s="235"/>
      <c r="O234" s="205">
        <v>2889885</v>
      </c>
      <c r="P234" s="205">
        <v>2984379</v>
      </c>
      <c r="Q234" s="205">
        <v>3233598</v>
      </c>
    </row>
    <row r="235" spans="1:17" s="409" customFormat="1">
      <c r="A235" s="404">
        <v>30000</v>
      </c>
      <c r="B235" s="411" t="s">
        <v>197</v>
      </c>
      <c r="C235" s="224">
        <v>12</v>
      </c>
      <c r="D235" s="224">
        <v>99</v>
      </c>
      <c r="E235" s="411" t="s">
        <v>210</v>
      </c>
      <c r="F235" s="412" t="s">
        <v>80</v>
      </c>
      <c r="G235" s="405">
        <v>0</v>
      </c>
      <c r="H235" s="405">
        <v>342328</v>
      </c>
      <c r="I235" s="405" t="s">
        <v>1</v>
      </c>
      <c r="J235" s="405">
        <v>366193</v>
      </c>
      <c r="K235" s="405">
        <f t="shared" si="70"/>
        <v>23865</v>
      </c>
      <c r="L235" s="406">
        <f t="shared" si="69"/>
        <v>366193</v>
      </c>
      <c r="M235" s="406"/>
      <c r="N235" s="407"/>
      <c r="O235" s="408">
        <v>412841</v>
      </c>
      <c r="P235" s="408">
        <v>433483</v>
      </c>
      <c r="Q235" s="408">
        <v>455157</v>
      </c>
    </row>
    <row r="236" spans="1:17" ht="13.5" thickBot="1">
      <c r="A236" s="124">
        <v>30000</v>
      </c>
      <c r="B236" s="126" t="s">
        <v>197</v>
      </c>
      <c r="C236" s="125">
        <v>12</v>
      </c>
      <c r="D236" s="125">
        <v>99</v>
      </c>
      <c r="E236" s="125">
        <v>99</v>
      </c>
      <c r="F236" s="245" t="s">
        <v>32</v>
      </c>
      <c r="G236" s="319">
        <v>5781857</v>
      </c>
      <c r="H236" s="319">
        <v>1112567</v>
      </c>
      <c r="I236" s="319">
        <v>66290273.409999996</v>
      </c>
      <c r="J236" s="319">
        <v>1190127</v>
      </c>
      <c r="K236" s="319">
        <f t="shared" si="70"/>
        <v>77560</v>
      </c>
      <c r="L236" s="236">
        <f>SUM(L219:L235)</f>
        <v>332483628</v>
      </c>
      <c r="M236" s="236" t="e">
        <f>SUM(M219:M234)</f>
        <v>#REF!</v>
      </c>
      <c r="N236" s="235"/>
      <c r="O236" s="205">
        <v>1341732</v>
      </c>
      <c r="P236" s="205">
        <v>1408819</v>
      </c>
      <c r="Q236" s="205">
        <v>1479260</v>
      </c>
    </row>
    <row r="237" spans="1:17" ht="26.25" thickBot="1">
      <c r="F237" s="499" t="s">
        <v>281</v>
      </c>
      <c r="G237" s="497">
        <f>SUM(G231:G236)</f>
        <v>34010921</v>
      </c>
      <c r="H237" s="322">
        <f>SUM(H231:H236)</f>
        <v>8558210</v>
      </c>
      <c r="I237" s="322">
        <f>SUM(I231:I236)</f>
        <v>67855953.479999989</v>
      </c>
      <c r="J237" s="322">
        <f t="shared" ref="J237" si="71">SUM(J231:J236)</f>
        <v>9154825</v>
      </c>
      <c r="K237" s="322">
        <f t="shared" ref="K237:Q237" si="72">SUM(K231:K236)</f>
        <v>596615</v>
      </c>
      <c r="L237" s="239">
        <f t="shared" si="72"/>
        <v>340448326</v>
      </c>
      <c r="M237" s="239" t="e">
        <f t="shared" si="72"/>
        <v>#REF!</v>
      </c>
      <c r="N237" s="254">
        <f t="shared" si="72"/>
        <v>0</v>
      </c>
      <c r="O237" s="239">
        <f t="shared" si="72"/>
        <v>10321019</v>
      </c>
      <c r="P237" s="239">
        <f t="shared" si="72"/>
        <v>10787070</v>
      </c>
      <c r="Q237" s="239">
        <f t="shared" si="72"/>
        <v>11588923</v>
      </c>
    </row>
    <row r="238" spans="1:17">
      <c r="F238" s="245"/>
      <c r="G238" s="328"/>
      <c r="H238" s="319"/>
      <c r="I238" s="319" t="s">
        <v>1</v>
      </c>
      <c r="J238" s="319"/>
      <c r="K238" s="319"/>
      <c r="L238" s="236"/>
      <c r="M238" s="236"/>
      <c r="N238" s="235"/>
      <c r="O238" s="205"/>
      <c r="P238" s="205"/>
      <c r="Q238" s="205"/>
    </row>
    <row r="239" spans="1:17">
      <c r="F239" s="244" t="s">
        <v>81</v>
      </c>
      <c r="G239" s="328"/>
      <c r="H239" s="319"/>
      <c r="I239" s="319" t="s">
        <v>1</v>
      </c>
      <c r="J239" s="319"/>
      <c r="K239" s="319"/>
      <c r="L239" s="236"/>
      <c r="M239" s="236"/>
      <c r="N239" s="235"/>
      <c r="O239" s="205"/>
      <c r="P239" s="205"/>
      <c r="Q239" s="205"/>
    </row>
    <row r="240" spans="1:17">
      <c r="A240" s="124">
        <v>40000</v>
      </c>
      <c r="B240" s="126" t="s">
        <v>197</v>
      </c>
      <c r="C240" s="125">
        <v>12</v>
      </c>
      <c r="D240" s="125">
        <v>15</v>
      </c>
      <c r="E240" s="125">
        <v>14</v>
      </c>
      <c r="F240" s="245" t="s">
        <v>82</v>
      </c>
      <c r="G240" s="319">
        <v>820962000</v>
      </c>
      <c r="H240" s="319">
        <v>735011000</v>
      </c>
      <c r="I240" s="319">
        <v>327873771.22000003</v>
      </c>
      <c r="J240" s="319">
        <v>645604306</v>
      </c>
      <c r="K240" s="319">
        <f t="shared" ref="K240:K245" si="73">J240-H240</f>
        <v>-89406694</v>
      </c>
      <c r="L240" s="236"/>
      <c r="M240" s="236"/>
      <c r="N240" s="235"/>
      <c r="O240" s="205"/>
      <c r="P240" s="205"/>
      <c r="Q240" s="205"/>
    </row>
    <row r="241" spans="1:17">
      <c r="A241" s="124">
        <v>40000</v>
      </c>
      <c r="B241" s="126" t="s">
        <v>197</v>
      </c>
      <c r="C241" s="125">
        <v>12</v>
      </c>
      <c r="D241" s="126" t="s">
        <v>201</v>
      </c>
      <c r="E241" s="125">
        <v>12</v>
      </c>
      <c r="F241" s="245" t="s">
        <v>83</v>
      </c>
      <c r="G241" s="319">
        <v>2117031</v>
      </c>
      <c r="H241" s="319">
        <v>1587664</v>
      </c>
      <c r="I241" s="319">
        <v>1406980</v>
      </c>
      <c r="J241" s="319">
        <v>1280000</v>
      </c>
      <c r="K241" s="319">
        <f t="shared" si="73"/>
        <v>-307664</v>
      </c>
      <c r="L241" s="236">
        <f>SUM(J241:J241)</f>
        <v>1280000</v>
      </c>
      <c r="M241" s="236" t="e">
        <f>#REF!-#REF!</f>
        <v>#REF!</v>
      </c>
      <c r="N241" s="235"/>
      <c r="O241" s="205"/>
      <c r="P241" s="205"/>
      <c r="Q241" s="205"/>
    </row>
    <row r="242" spans="1:17">
      <c r="A242" s="124">
        <v>40000</v>
      </c>
      <c r="B242" s="126" t="s">
        <v>197</v>
      </c>
      <c r="C242" s="125">
        <v>12</v>
      </c>
      <c r="D242" s="126" t="s">
        <v>201</v>
      </c>
      <c r="E242" s="132">
        <v>20</v>
      </c>
      <c r="F242" s="245" t="s">
        <v>84</v>
      </c>
      <c r="G242" s="319">
        <v>317143</v>
      </c>
      <c r="H242" s="319">
        <v>610000</v>
      </c>
      <c r="I242" s="319">
        <v>425010</v>
      </c>
      <c r="J242" s="319">
        <v>190000</v>
      </c>
      <c r="K242" s="319">
        <f t="shared" si="73"/>
        <v>-420000</v>
      </c>
      <c r="L242" s="236">
        <f>SUM(J242:J242)</f>
        <v>190000</v>
      </c>
      <c r="M242" s="236" t="e">
        <f>#REF!-#REF!</f>
        <v>#REF!</v>
      </c>
      <c r="N242" s="235"/>
      <c r="O242" s="205"/>
      <c r="P242" s="205"/>
      <c r="Q242" s="205"/>
    </row>
    <row r="243" spans="1:17">
      <c r="A243" s="124">
        <v>40000</v>
      </c>
      <c r="B243" s="126" t="s">
        <v>197</v>
      </c>
      <c r="C243" s="125">
        <v>12</v>
      </c>
      <c r="D243" s="126" t="s">
        <v>201</v>
      </c>
      <c r="E243" s="132">
        <v>23</v>
      </c>
      <c r="F243" s="245" t="s">
        <v>85</v>
      </c>
      <c r="G243" s="319">
        <v>0</v>
      </c>
      <c r="H243" s="319"/>
      <c r="I243" s="319" t="s">
        <v>1</v>
      </c>
      <c r="J243" s="319"/>
      <c r="K243" s="319">
        <f t="shared" si="73"/>
        <v>0</v>
      </c>
      <c r="L243" s="236">
        <f>SUM(J243:J243)</f>
        <v>0</v>
      </c>
      <c r="M243" s="236" t="e">
        <f>#REF!-#REF!</f>
        <v>#REF!</v>
      </c>
      <c r="N243" s="235"/>
      <c r="O243" s="205"/>
      <c r="P243" s="205"/>
      <c r="Q243" s="205"/>
    </row>
    <row r="244" spans="1:17">
      <c r="A244" s="124">
        <v>40000</v>
      </c>
      <c r="B244" s="126" t="s">
        <v>197</v>
      </c>
      <c r="C244" s="125">
        <v>12</v>
      </c>
      <c r="D244" s="126" t="s">
        <v>227</v>
      </c>
      <c r="E244" s="126" t="s">
        <v>216</v>
      </c>
      <c r="F244" s="245" t="s">
        <v>86</v>
      </c>
      <c r="G244" s="319">
        <v>1100000000</v>
      </c>
      <c r="H244" s="319">
        <v>1400000000</v>
      </c>
      <c r="I244" s="319">
        <v>360497142.13999999</v>
      </c>
      <c r="J244" s="319">
        <v>800000000</v>
      </c>
      <c r="K244" s="319">
        <f t="shared" si="73"/>
        <v>-600000000</v>
      </c>
      <c r="L244" s="236">
        <f>SUM(J244:J244)</f>
        <v>800000000</v>
      </c>
      <c r="M244" s="236" t="e">
        <f>#REF!-#REF!</f>
        <v>#REF!</v>
      </c>
      <c r="N244" s="235"/>
      <c r="O244" s="205"/>
      <c r="P244" s="205"/>
      <c r="Q244" s="205"/>
    </row>
    <row r="245" spans="1:17" ht="13.5" thickBot="1">
      <c r="A245" s="124">
        <v>40000</v>
      </c>
      <c r="B245" s="126" t="s">
        <v>197</v>
      </c>
      <c r="C245" s="125">
        <v>12</v>
      </c>
      <c r="D245" s="125">
        <v>99</v>
      </c>
      <c r="E245" s="125">
        <v>99</v>
      </c>
      <c r="F245" s="245" t="s">
        <v>32</v>
      </c>
      <c r="G245" s="319">
        <v>3079306</v>
      </c>
      <c r="H245" s="319">
        <v>700000</v>
      </c>
      <c r="I245" s="319">
        <v>272899315.41000003</v>
      </c>
      <c r="J245" s="319">
        <v>7744295.3799999999</v>
      </c>
      <c r="K245" s="319">
        <f t="shared" si="73"/>
        <v>7044295.3799999999</v>
      </c>
      <c r="L245" s="236">
        <f>SUM(J245:J245)</f>
        <v>7744295.3799999999</v>
      </c>
      <c r="M245" s="236" t="e">
        <f>#REF!-#REF!</f>
        <v>#REF!</v>
      </c>
      <c r="N245" s="235"/>
      <c r="O245" s="205"/>
      <c r="P245" s="205"/>
      <c r="Q245" s="205"/>
    </row>
    <row r="246" spans="1:17" ht="26.25" thickBot="1">
      <c r="F246" s="499" t="s">
        <v>282</v>
      </c>
      <c r="G246" s="497">
        <f>SUM(G240:G245)</f>
        <v>1926475480</v>
      </c>
      <c r="H246" s="322">
        <f>SUM(H240:H245)</f>
        <v>2137908664</v>
      </c>
      <c r="I246" s="322">
        <f>SUM(I240:I245)</f>
        <v>963102218.76999998</v>
      </c>
      <c r="J246" s="322">
        <f t="shared" ref="J246" si="74">SUM(J240:J245)</f>
        <v>1454818601.3800001</v>
      </c>
      <c r="K246" s="322">
        <f t="shared" ref="K246:Q246" si="75">SUM(K240:K245)</f>
        <v>-683090062.62</v>
      </c>
      <c r="L246" s="239">
        <f t="shared" si="75"/>
        <v>809214295.38</v>
      </c>
      <c r="M246" s="239" t="e">
        <f t="shared" si="75"/>
        <v>#REF!</v>
      </c>
      <c r="N246" s="254">
        <f t="shared" si="75"/>
        <v>0</v>
      </c>
      <c r="O246" s="239">
        <f t="shared" si="75"/>
        <v>0</v>
      </c>
      <c r="P246" s="239">
        <f t="shared" si="75"/>
        <v>0</v>
      </c>
      <c r="Q246" s="239">
        <f t="shared" si="75"/>
        <v>0</v>
      </c>
    </row>
    <row r="247" spans="1:17">
      <c r="F247" s="245"/>
      <c r="G247" s="328"/>
      <c r="H247" s="319"/>
      <c r="I247" s="319" t="s">
        <v>1</v>
      </c>
      <c r="J247" s="319"/>
      <c r="K247" s="319"/>
      <c r="L247" s="236"/>
      <c r="M247" s="236"/>
      <c r="N247" s="235"/>
      <c r="O247" s="205"/>
      <c r="P247" s="205"/>
      <c r="Q247" s="205"/>
    </row>
    <row r="248" spans="1:17">
      <c r="F248" s="244" t="s">
        <v>283</v>
      </c>
      <c r="G248" s="328"/>
      <c r="H248" s="319"/>
      <c r="I248" s="319" t="s">
        <v>1</v>
      </c>
      <c r="J248" s="319"/>
      <c r="K248" s="319"/>
      <c r="L248" s="236">
        <f>SUM(J248:J248)</f>
        <v>0</v>
      </c>
      <c r="M248" s="236" t="e">
        <f>#REF!-#REF!</f>
        <v>#REF!</v>
      </c>
      <c r="N248" s="235"/>
      <c r="O248" s="205"/>
      <c r="P248" s="205"/>
      <c r="Q248" s="205"/>
    </row>
    <row r="249" spans="1:17">
      <c r="A249" s="124">
        <v>41000</v>
      </c>
      <c r="B249" s="126" t="s">
        <v>197</v>
      </c>
      <c r="C249" s="125">
        <v>12</v>
      </c>
      <c r="D249" s="125">
        <v>14</v>
      </c>
      <c r="E249" s="126" t="s">
        <v>222</v>
      </c>
      <c r="F249" s="261" t="s">
        <v>87</v>
      </c>
      <c r="G249" s="319">
        <v>200000</v>
      </c>
      <c r="H249" s="319"/>
      <c r="I249" s="319" t="s">
        <v>1</v>
      </c>
      <c r="J249" s="319"/>
      <c r="K249" s="319"/>
      <c r="L249" s="236">
        <f>SUM(J249:J249)</f>
        <v>0</v>
      </c>
      <c r="M249" s="236" t="e">
        <f>#REF!-#REF!</f>
        <v>#REF!</v>
      </c>
      <c r="N249" s="235"/>
      <c r="O249" s="205"/>
      <c r="P249" s="205"/>
      <c r="Q249" s="205"/>
    </row>
    <row r="250" spans="1:17">
      <c r="A250" s="124">
        <v>41000</v>
      </c>
      <c r="B250" s="126" t="s">
        <v>197</v>
      </c>
      <c r="C250" s="125">
        <v>12</v>
      </c>
      <c r="D250" s="125">
        <v>10</v>
      </c>
      <c r="E250" s="126" t="s">
        <v>216</v>
      </c>
      <c r="F250" s="245" t="s">
        <v>88</v>
      </c>
      <c r="G250" s="319">
        <v>6000000</v>
      </c>
      <c r="H250" s="319">
        <v>3000000</v>
      </c>
      <c r="I250" s="319">
        <v>401400</v>
      </c>
      <c r="J250" s="319">
        <v>1200000</v>
      </c>
      <c r="K250" s="319">
        <f t="shared" ref="K250:K254" si="76">J250-H250</f>
        <v>-1800000</v>
      </c>
      <c r="L250" s="236">
        <f>SUM(J250:J250)</f>
        <v>1200000</v>
      </c>
      <c r="M250" s="236" t="e">
        <f>#REF!-#REF!</f>
        <v>#REF!</v>
      </c>
      <c r="N250" s="235"/>
      <c r="O250" s="205"/>
      <c r="P250" s="205"/>
      <c r="Q250" s="205"/>
    </row>
    <row r="251" spans="1:17">
      <c r="A251" s="124">
        <v>41000</v>
      </c>
      <c r="B251" s="126" t="s">
        <v>197</v>
      </c>
      <c r="C251" s="125">
        <v>12</v>
      </c>
      <c r="D251" s="125">
        <v>14</v>
      </c>
      <c r="E251" s="126" t="s">
        <v>201</v>
      </c>
      <c r="F251" s="245" t="s">
        <v>89</v>
      </c>
      <c r="G251" s="319">
        <v>12000000</v>
      </c>
      <c r="H251" s="319">
        <v>12000000</v>
      </c>
      <c r="I251" s="319">
        <v>465583.35999999999</v>
      </c>
      <c r="J251" s="319">
        <v>1800000</v>
      </c>
      <c r="K251" s="319">
        <f t="shared" si="76"/>
        <v>-10200000</v>
      </c>
      <c r="L251" s="236">
        <f>SUM(J251:J251)</f>
        <v>1800000</v>
      </c>
      <c r="M251" s="236" t="e">
        <f>#REF!-#REF!</f>
        <v>#REF!</v>
      </c>
      <c r="N251" s="235"/>
      <c r="O251" s="205"/>
      <c r="P251" s="205"/>
      <c r="Q251" s="205"/>
    </row>
    <row r="252" spans="1:17">
      <c r="A252" s="124">
        <v>41000</v>
      </c>
      <c r="B252" s="126" t="s">
        <v>197</v>
      </c>
      <c r="C252" s="125">
        <v>12</v>
      </c>
      <c r="D252" s="125">
        <v>14</v>
      </c>
      <c r="E252" s="126" t="s">
        <v>210</v>
      </c>
      <c r="F252" s="245" t="s">
        <v>90</v>
      </c>
      <c r="G252" s="319">
        <v>12000</v>
      </c>
      <c r="H252" s="319">
        <v>60000</v>
      </c>
      <c r="I252" s="319">
        <v>600</v>
      </c>
      <c r="J252" s="319">
        <v>7200</v>
      </c>
      <c r="K252" s="319">
        <f t="shared" si="76"/>
        <v>-52800</v>
      </c>
      <c r="L252" s="236"/>
      <c r="M252" s="236" t="e">
        <f>#REF!-#REF!</f>
        <v>#REF!</v>
      </c>
      <c r="N252" s="235"/>
      <c r="O252" s="205"/>
      <c r="P252" s="205"/>
      <c r="Q252" s="205"/>
    </row>
    <row r="253" spans="1:17">
      <c r="A253" s="124">
        <v>41000</v>
      </c>
      <c r="B253" s="126" t="s">
        <v>197</v>
      </c>
      <c r="C253" s="125">
        <v>12</v>
      </c>
      <c r="D253" s="125">
        <v>99</v>
      </c>
      <c r="E253" s="126" t="s">
        <v>201</v>
      </c>
      <c r="F253" s="245" t="s">
        <v>91</v>
      </c>
      <c r="G253" s="319">
        <v>12000000</v>
      </c>
      <c r="H253" s="319">
        <v>12000000</v>
      </c>
      <c r="I253" s="319">
        <v>3636001.77</v>
      </c>
      <c r="J253" s="319">
        <v>7200000</v>
      </c>
      <c r="K253" s="319">
        <f t="shared" si="76"/>
        <v>-4800000</v>
      </c>
      <c r="L253" s="236">
        <f>SUM(L241:L252)</f>
        <v>1621428590.76</v>
      </c>
      <c r="M253" s="236" t="e">
        <f>SUM(M241:M252)</f>
        <v>#REF!</v>
      </c>
      <c r="N253" s="235"/>
      <c r="O253" s="205"/>
      <c r="P253" s="205"/>
      <c r="Q253" s="205"/>
    </row>
    <row r="254" spans="1:17" ht="13.5" thickBot="1">
      <c r="A254" s="124">
        <v>41000</v>
      </c>
      <c r="B254" s="126" t="s">
        <v>197</v>
      </c>
      <c r="C254" s="125">
        <v>12</v>
      </c>
      <c r="D254" s="125">
        <v>99</v>
      </c>
      <c r="E254" s="125">
        <v>99</v>
      </c>
      <c r="F254" s="245" t="s">
        <v>32</v>
      </c>
      <c r="G254" s="319">
        <v>10000000</v>
      </c>
      <c r="H254" s="319">
        <v>10000000</v>
      </c>
      <c r="I254" s="319">
        <v>55693518.619999997</v>
      </c>
      <c r="J254" s="319">
        <v>23000000</v>
      </c>
      <c r="K254" s="319">
        <f t="shared" si="76"/>
        <v>13000000</v>
      </c>
      <c r="L254" s="236"/>
      <c r="M254" s="236"/>
      <c r="N254" s="235"/>
      <c r="O254" s="205"/>
      <c r="P254" s="205"/>
      <c r="Q254" s="205"/>
    </row>
    <row r="255" spans="1:17" ht="26.25" thickBot="1">
      <c r="F255" s="499" t="s">
        <v>284</v>
      </c>
      <c r="G255" s="497">
        <f>SUM(G249:G254)</f>
        <v>40212000</v>
      </c>
      <c r="H255" s="322">
        <f>SUM(H249:H254)</f>
        <v>37060000</v>
      </c>
      <c r="I255" s="322">
        <f>SUM(I249:I254)</f>
        <v>60197103.75</v>
      </c>
      <c r="J255" s="322">
        <f t="shared" ref="J255" si="77">SUM(J249:J254)</f>
        <v>33207200</v>
      </c>
      <c r="K255" s="322">
        <f t="shared" ref="K255:Q255" si="78">SUM(K249:K254)</f>
        <v>-3852800</v>
      </c>
      <c r="L255" s="239">
        <f t="shared" si="78"/>
        <v>1624428590.76</v>
      </c>
      <c r="M255" s="239" t="e">
        <f t="shared" si="78"/>
        <v>#REF!</v>
      </c>
      <c r="N255" s="254">
        <f t="shared" si="78"/>
        <v>0</v>
      </c>
      <c r="O255" s="239">
        <f t="shared" si="78"/>
        <v>0</v>
      </c>
      <c r="P255" s="239">
        <f t="shared" si="78"/>
        <v>0</v>
      </c>
      <c r="Q255" s="239">
        <f t="shared" si="78"/>
        <v>0</v>
      </c>
    </row>
    <row r="256" spans="1:17">
      <c r="F256" s="245"/>
      <c r="G256" s="328"/>
      <c r="H256" s="319"/>
      <c r="I256" s="319" t="s">
        <v>531</v>
      </c>
      <c r="J256" s="319"/>
      <c r="K256" s="319"/>
      <c r="L256" s="236"/>
      <c r="M256" s="236"/>
      <c r="N256" s="235"/>
      <c r="O256" s="205"/>
      <c r="P256" s="205"/>
      <c r="Q256" s="205"/>
    </row>
    <row r="257" spans="1:17">
      <c r="E257" s="132"/>
      <c r="F257" s="265" t="s">
        <v>92</v>
      </c>
      <c r="G257" s="328"/>
      <c r="H257" s="319"/>
      <c r="I257" s="319" t="s">
        <v>1</v>
      </c>
      <c r="J257" s="319"/>
      <c r="K257" s="319"/>
      <c r="L257" s="236">
        <f>SUM(J257:J257)</f>
        <v>0</v>
      </c>
      <c r="M257" s="236" t="e">
        <f>#REF!-#REF!</f>
        <v>#REF!</v>
      </c>
      <c r="N257" s="235"/>
      <c r="O257" s="205"/>
      <c r="P257" s="205"/>
      <c r="Q257" s="205"/>
    </row>
    <row r="258" spans="1:17">
      <c r="A258" s="124">
        <v>42000</v>
      </c>
      <c r="B258" s="126" t="s">
        <v>197</v>
      </c>
      <c r="C258" s="125">
        <v>12</v>
      </c>
      <c r="D258" s="126" t="s">
        <v>201</v>
      </c>
      <c r="E258" s="125">
        <v>24</v>
      </c>
      <c r="F258" s="245" t="s">
        <v>93</v>
      </c>
      <c r="G258" s="319">
        <v>480000</v>
      </c>
      <c r="H258" s="319"/>
      <c r="I258" s="319" t="s">
        <v>1</v>
      </c>
      <c r="J258" s="319"/>
      <c r="K258" s="319"/>
      <c r="L258" s="236">
        <f>SUM(J258:J258)</f>
        <v>0</v>
      </c>
      <c r="M258" s="236" t="e">
        <f>#REF!-#REF!</f>
        <v>#REF!</v>
      </c>
      <c r="N258" s="235"/>
      <c r="O258" s="205"/>
      <c r="P258" s="205"/>
      <c r="Q258" s="205"/>
    </row>
    <row r="259" spans="1:17">
      <c r="A259" s="124">
        <v>42000</v>
      </c>
      <c r="B259" s="126" t="s">
        <v>197</v>
      </c>
      <c r="C259" s="125">
        <v>12</v>
      </c>
      <c r="D259" s="126" t="s">
        <v>201</v>
      </c>
      <c r="E259" s="134" t="s">
        <v>216</v>
      </c>
      <c r="F259" s="245" t="s">
        <v>94</v>
      </c>
      <c r="G259" s="319">
        <v>12000000</v>
      </c>
      <c r="H259" s="319">
        <v>36000000</v>
      </c>
      <c r="I259" s="319" t="s">
        <v>1</v>
      </c>
      <c r="J259" s="319">
        <v>80000000</v>
      </c>
      <c r="K259" s="319">
        <f t="shared" ref="K259:K263" si="79">J259-H259</f>
        <v>44000000</v>
      </c>
      <c r="L259" s="236">
        <f>SUM(J259:J259)</f>
        <v>80000000</v>
      </c>
      <c r="M259" s="236" t="e">
        <f>#REF!-#REF!</f>
        <v>#REF!</v>
      </c>
      <c r="N259" s="235"/>
      <c r="O259" s="205">
        <v>100000000</v>
      </c>
      <c r="P259" s="205">
        <v>135000000</v>
      </c>
      <c r="Q259" s="205">
        <v>135000000</v>
      </c>
    </row>
    <row r="260" spans="1:17" ht="25.5">
      <c r="A260" s="124">
        <v>42000</v>
      </c>
      <c r="B260" s="126" t="s">
        <v>197</v>
      </c>
      <c r="C260" s="125">
        <v>12</v>
      </c>
      <c r="D260" s="126">
        <v>99</v>
      </c>
      <c r="E260" s="126" t="s">
        <v>209</v>
      </c>
      <c r="F260" s="261" t="s">
        <v>95</v>
      </c>
      <c r="G260" s="319">
        <v>0</v>
      </c>
      <c r="H260" s="319"/>
      <c r="I260" s="319" t="s">
        <v>1</v>
      </c>
      <c r="J260" s="319"/>
      <c r="K260" s="319">
        <f t="shared" si="79"/>
        <v>0</v>
      </c>
      <c r="L260" s="236">
        <f>SUM(J260:J260)</f>
        <v>0</v>
      </c>
      <c r="M260" s="236" t="e">
        <f>#REF!-#REF!</f>
        <v>#REF!</v>
      </c>
      <c r="N260" s="235"/>
      <c r="O260" s="205"/>
      <c r="P260" s="205"/>
      <c r="Q260" s="205"/>
    </row>
    <row r="261" spans="1:17">
      <c r="A261" s="124">
        <v>42000</v>
      </c>
      <c r="B261" s="126" t="s">
        <v>197</v>
      </c>
      <c r="C261" s="125">
        <v>12</v>
      </c>
      <c r="D261" s="126" t="s">
        <v>227</v>
      </c>
      <c r="E261" s="134" t="s">
        <v>209</v>
      </c>
      <c r="F261" s="245" t="s">
        <v>96</v>
      </c>
      <c r="G261" s="319">
        <v>4200000</v>
      </c>
      <c r="H261" s="319">
        <v>36000000</v>
      </c>
      <c r="I261" s="319" t="s">
        <v>1</v>
      </c>
      <c r="J261" s="319">
        <v>60000000</v>
      </c>
      <c r="K261" s="319">
        <f t="shared" si="79"/>
        <v>24000000</v>
      </c>
      <c r="L261" s="236"/>
      <c r="M261" s="236"/>
      <c r="N261" s="235"/>
      <c r="O261" s="205">
        <v>65000000</v>
      </c>
      <c r="P261" s="205">
        <v>70000000</v>
      </c>
      <c r="Q261" s="205">
        <v>75000000</v>
      </c>
    </row>
    <row r="262" spans="1:17">
      <c r="A262" s="124">
        <v>42000</v>
      </c>
      <c r="B262" s="126" t="s">
        <v>197</v>
      </c>
      <c r="C262" s="125">
        <v>12</v>
      </c>
      <c r="D262" s="125">
        <v>99</v>
      </c>
      <c r="E262" s="125">
        <v>99</v>
      </c>
      <c r="F262" s="245" t="s">
        <v>32</v>
      </c>
      <c r="G262" s="319">
        <v>240000</v>
      </c>
      <c r="H262" s="319">
        <v>2160000</v>
      </c>
      <c r="I262" s="319">
        <v>27724569.210000001</v>
      </c>
      <c r="J262" s="319">
        <v>3200000</v>
      </c>
      <c r="K262" s="319">
        <f t="shared" si="79"/>
        <v>1040000</v>
      </c>
      <c r="L262" s="236">
        <f>SUM(J262:J262)</f>
        <v>3200000</v>
      </c>
      <c r="M262" s="236" t="e">
        <f>#REF!-#REF!</f>
        <v>#REF!</v>
      </c>
      <c r="N262" s="235"/>
      <c r="O262" s="205">
        <v>3600000</v>
      </c>
      <c r="P262" s="205">
        <v>4200000</v>
      </c>
      <c r="Q262" s="205">
        <v>4800000</v>
      </c>
    </row>
    <row r="263" spans="1:17" ht="13.5" thickBot="1">
      <c r="A263" s="124">
        <v>42000</v>
      </c>
      <c r="B263" s="126" t="s">
        <v>197</v>
      </c>
      <c r="C263" s="125">
        <v>12</v>
      </c>
      <c r="F263" s="245" t="s">
        <v>506</v>
      </c>
      <c r="G263" s="319">
        <v>216000</v>
      </c>
      <c r="H263" s="319">
        <v>216000</v>
      </c>
      <c r="I263" s="319" t="s">
        <v>1</v>
      </c>
      <c r="J263" s="319">
        <v>540000</v>
      </c>
      <c r="K263" s="319">
        <f t="shared" si="79"/>
        <v>324000</v>
      </c>
      <c r="L263" s="236">
        <f>SUM(J263:J263)</f>
        <v>540000</v>
      </c>
      <c r="M263" s="236"/>
      <c r="N263" s="235"/>
      <c r="O263" s="205">
        <v>600000</v>
      </c>
      <c r="P263" s="205">
        <v>600000</v>
      </c>
      <c r="Q263" s="205">
        <v>800000</v>
      </c>
    </row>
    <row r="264" spans="1:17" ht="13.5" thickBot="1">
      <c r="E264" s="132"/>
      <c r="F264" s="499" t="s">
        <v>286</v>
      </c>
      <c r="G264" s="497">
        <f>SUM(G258:G263)</f>
        <v>17136000</v>
      </c>
      <c r="H264" s="322">
        <f>SUM(H258:H263)</f>
        <v>74376000</v>
      </c>
      <c r="I264" s="322">
        <f>SUM(I258:I263)</f>
        <v>27724569.210000001</v>
      </c>
      <c r="J264" s="322">
        <f t="shared" ref="J264" si="80">SUM(J258:J263)</f>
        <v>143740000</v>
      </c>
      <c r="K264" s="322">
        <f t="shared" ref="K264:Q264" si="81">SUM(K258:K263)</f>
        <v>69364000</v>
      </c>
      <c r="L264" s="239">
        <f t="shared" si="81"/>
        <v>83740000</v>
      </c>
      <c r="M264" s="239" t="e">
        <f t="shared" si="81"/>
        <v>#REF!</v>
      </c>
      <c r="N264" s="254">
        <f t="shared" si="81"/>
        <v>0</v>
      </c>
      <c r="O264" s="239">
        <f t="shared" si="81"/>
        <v>169200000</v>
      </c>
      <c r="P264" s="239">
        <f t="shared" si="81"/>
        <v>209800000</v>
      </c>
      <c r="Q264" s="239">
        <f t="shared" si="81"/>
        <v>215600000</v>
      </c>
    </row>
    <row r="265" spans="1:17">
      <c r="E265" s="132"/>
      <c r="F265" s="245"/>
      <c r="G265" s="328"/>
      <c r="H265" s="319"/>
      <c r="I265" s="319" t="s">
        <v>1</v>
      </c>
      <c r="J265" s="319"/>
      <c r="K265" s="319"/>
      <c r="L265" s="236"/>
      <c r="M265" s="236"/>
      <c r="N265" s="235"/>
      <c r="O265" s="205"/>
      <c r="P265" s="205"/>
      <c r="Q265" s="205"/>
    </row>
    <row r="266" spans="1:17">
      <c r="F266" s="244" t="s">
        <v>97</v>
      </c>
      <c r="G266" s="328"/>
      <c r="H266" s="319"/>
      <c r="I266" s="319" t="s">
        <v>1</v>
      </c>
      <c r="J266" s="319"/>
      <c r="K266" s="319"/>
      <c r="L266" s="236">
        <f>SUM(J266:J266)</f>
        <v>0</v>
      </c>
      <c r="M266" s="236" t="e">
        <f>#REF!-#REF!</f>
        <v>#REF!</v>
      </c>
      <c r="N266" s="235"/>
      <c r="O266" s="205"/>
      <c r="P266" s="205"/>
      <c r="Q266" s="205"/>
    </row>
    <row r="267" spans="1:17" ht="13.5" thickBot="1">
      <c r="A267" s="124">
        <v>42035</v>
      </c>
      <c r="B267" s="126" t="s">
        <v>197</v>
      </c>
      <c r="C267" s="125">
        <v>12</v>
      </c>
      <c r="D267" s="125">
        <v>16</v>
      </c>
      <c r="E267" s="134" t="s">
        <v>216</v>
      </c>
      <c r="F267" s="245" t="s">
        <v>98</v>
      </c>
      <c r="G267" s="319">
        <v>1008000</v>
      </c>
      <c r="H267" s="319">
        <v>1008000</v>
      </c>
      <c r="I267" s="319">
        <v>538065</v>
      </c>
      <c r="J267" s="319">
        <v>1008000</v>
      </c>
      <c r="K267" s="319">
        <f t="shared" ref="K267" si="82">J267-H267</f>
        <v>0</v>
      </c>
      <c r="L267" s="236">
        <f>SUM(J267:J267)</f>
        <v>1008000</v>
      </c>
      <c r="M267" s="236" t="e">
        <f>#REF!-#REF!</f>
        <v>#REF!</v>
      </c>
      <c r="N267" s="235"/>
      <c r="O267" s="233">
        <v>1008000</v>
      </c>
      <c r="P267" s="233">
        <v>1008000</v>
      </c>
      <c r="Q267" s="233">
        <v>1008000</v>
      </c>
    </row>
    <row r="268" spans="1:17" ht="13.5" thickBot="1">
      <c r="E268" s="132"/>
      <c r="F268" s="499" t="s">
        <v>285</v>
      </c>
      <c r="G268" s="497">
        <f>SUM(G267)</f>
        <v>1008000</v>
      </c>
      <c r="H268" s="322">
        <f>SUM(H267)</f>
        <v>1008000</v>
      </c>
      <c r="I268" s="322">
        <f>SUM(I267)</f>
        <v>538065</v>
      </c>
      <c r="J268" s="322">
        <f t="shared" ref="J268" si="83">SUM(J267)</f>
        <v>1008000</v>
      </c>
      <c r="K268" s="322">
        <f t="shared" ref="K268:Q268" si="84">SUM(K267)</f>
        <v>0</v>
      </c>
      <c r="L268" s="239">
        <f t="shared" si="84"/>
        <v>1008000</v>
      </c>
      <c r="M268" s="239" t="e">
        <f t="shared" si="84"/>
        <v>#REF!</v>
      </c>
      <c r="N268" s="254">
        <f t="shared" si="84"/>
        <v>0</v>
      </c>
      <c r="O268" s="239">
        <f t="shared" si="84"/>
        <v>1008000</v>
      </c>
      <c r="P268" s="239">
        <f t="shared" si="84"/>
        <v>1008000</v>
      </c>
      <c r="Q268" s="239">
        <f t="shared" si="84"/>
        <v>1008000</v>
      </c>
    </row>
    <row r="269" spans="1:17">
      <c r="E269" s="132"/>
      <c r="F269" s="245"/>
      <c r="G269" s="328"/>
      <c r="H269" s="319"/>
      <c r="I269" s="319" t="s">
        <v>1</v>
      </c>
      <c r="J269" s="319"/>
      <c r="K269" s="319"/>
      <c r="L269" s="236"/>
      <c r="M269" s="236"/>
      <c r="N269" s="235"/>
      <c r="O269" s="205"/>
      <c r="P269" s="205"/>
      <c r="Q269" s="205"/>
    </row>
    <row r="270" spans="1:17" ht="25.5">
      <c r="E270" s="132"/>
      <c r="F270" s="244" t="s">
        <v>289</v>
      </c>
      <c r="G270" s="328"/>
      <c r="H270" s="319"/>
      <c r="I270" s="319" t="s">
        <v>1</v>
      </c>
      <c r="J270" s="319" t="s">
        <v>1</v>
      </c>
      <c r="K270" s="319"/>
      <c r="L270" s="236"/>
      <c r="M270" s="236"/>
      <c r="N270" s="235"/>
      <c r="O270" s="205"/>
      <c r="P270" s="205"/>
      <c r="Q270" s="205"/>
    </row>
    <row r="271" spans="1:17">
      <c r="A271" s="124">
        <v>46000</v>
      </c>
      <c r="B271" s="126" t="s">
        <v>197</v>
      </c>
      <c r="C271" s="125">
        <v>12</v>
      </c>
      <c r="D271" s="125">
        <v>17</v>
      </c>
      <c r="E271" s="132">
        <v>14</v>
      </c>
      <c r="F271" s="245" t="s">
        <v>256</v>
      </c>
      <c r="G271" s="328">
        <v>0</v>
      </c>
      <c r="H271" s="319">
        <v>0</v>
      </c>
      <c r="I271" s="319" t="s">
        <v>1</v>
      </c>
      <c r="J271" s="326"/>
      <c r="K271" s="319">
        <f t="shared" ref="K271:K272" si="85">J271-H271</f>
        <v>0</v>
      </c>
      <c r="L271" s="236"/>
      <c r="M271" s="236"/>
      <c r="N271" s="235"/>
      <c r="O271" s="205"/>
      <c r="P271" s="205"/>
      <c r="Q271" s="205"/>
    </row>
    <row r="272" spans="1:17" ht="13.5" thickBot="1">
      <c r="A272" s="124">
        <v>46000</v>
      </c>
      <c r="B272" s="126" t="s">
        <v>197</v>
      </c>
      <c r="C272" s="125">
        <v>12</v>
      </c>
      <c r="D272" s="125">
        <v>99</v>
      </c>
      <c r="E272" s="132">
        <v>99</v>
      </c>
      <c r="F272" s="245" t="s">
        <v>192</v>
      </c>
      <c r="G272" s="319">
        <v>115000</v>
      </c>
      <c r="H272" s="319">
        <v>350000</v>
      </c>
      <c r="I272" s="319">
        <v>75118</v>
      </c>
      <c r="J272" s="319">
        <v>115000</v>
      </c>
      <c r="K272" s="319">
        <f t="shared" si="85"/>
        <v>-235000</v>
      </c>
      <c r="L272" s="236"/>
      <c r="M272" s="236"/>
      <c r="N272" s="235"/>
      <c r="O272" s="205">
        <v>115000</v>
      </c>
      <c r="P272" s="205">
        <v>115000</v>
      </c>
      <c r="Q272" s="205">
        <v>115000</v>
      </c>
    </row>
    <row r="273" spans="1:17" ht="26.25" thickBot="1">
      <c r="E273" s="132"/>
      <c r="F273" s="499" t="s">
        <v>288</v>
      </c>
      <c r="G273" s="497">
        <f>SUM(G271:G272)</f>
        <v>115000</v>
      </c>
      <c r="H273" s="322">
        <f>SUM(H271:H272)</f>
        <v>350000</v>
      </c>
      <c r="I273" s="322">
        <f>SUM(I271:I272)</f>
        <v>75118</v>
      </c>
      <c r="J273" s="322">
        <f t="shared" ref="J273" si="86">SUM(J271:J272)</f>
        <v>115000</v>
      </c>
      <c r="K273" s="322">
        <f t="shared" ref="K273:Q273" si="87">SUM(K271:K272)</f>
        <v>-235000</v>
      </c>
      <c r="L273" s="239">
        <f t="shared" si="87"/>
        <v>0</v>
      </c>
      <c r="M273" s="239">
        <f t="shared" si="87"/>
        <v>0</v>
      </c>
      <c r="N273" s="254">
        <f t="shared" si="87"/>
        <v>0</v>
      </c>
      <c r="O273" s="239">
        <f t="shared" si="87"/>
        <v>115000</v>
      </c>
      <c r="P273" s="239">
        <f t="shared" si="87"/>
        <v>115000</v>
      </c>
      <c r="Q273" s="239">
        <f t="shared" si="87"/>
        <v>115000</v>
      </c>
    </row>
    <row r="274" spans="1:17">
      <c r="E274" s="132"/>
      <c r="F274" s="245"/>
      <c r="G274" s="328"/>
      <c r="H274" s="319"/>
      <c r="I274" s="319" t="s">
        <v>1</v>
      </c>
      <c r="J274" s="319"/>
      <c r="K274" s="319"/>
      <c r="L274" s="236"/>
      <c r="M274" s="236"/>
      <c r="N274" s="235"/>
      <c r="O274" s="205"/>
      <c r="P274" s="205"/>
      <c r="Q274" s="205"/>
    </row>
    <row r="275" spans="1:17" ht="25.5">
      <c r="F275" s="265" t="s">
        <v>290</v>
      </c>
      <c r="G275" s="328"/>
      <c r="H275" s="319"/>
      <c r="I275" s="319" t="s">
        <v>1</v>
      </c>
      <c r="J275" s="319"/>
      <c r="K275" s="319"/>
      <c r="L275" s="236">
        <f>SUM(L257:L268)</f>
        <v>169496000</v>
      </c>
      <c r="M275" s="236" t="e">
        <f>SUM(M257:M267)</f>
        <v>#REF!</v>
      </c>
      <c r="N275" s="235"/>
      <c r="O275" s="205"/>
      <c r="P275" s="205"/>
      <c r="Q275" s="205"/>
    </row>
    <row r="276" spans="1:17">
      <c r="A276" s="124">
        <v>50000</v>
      </c>
      <c r="B276" s="126" t="s">
        <v>197</v>
      </c>
      <c r="C276" s="125">
        <v>12</v>
      </c>
      <c r="D276" s="125">
        <v>16</v>
      </c>
      <c r="E276" s="125">
        <v>19</v>
      </c>
      <c r="F276" s="245" t="s">
        <v>234</v>
      </c>
      <c r="G276" s="319">
        <v>1600000</v>
      </c>
      <c r="H276" s="319">
        <v>1600000</v>
      </c>
      <c r="I276" s="319" t="s">
        <v>1</v>
      </c>
      <c r="J276" s="319"/>
      <c r="K276" s="319">
        <f t="shared" ref="K276:K279" si="88">J276-H276</f>
        <v>-1600000</v>
      </c>
      <c r="L276" s="236"/>
      <c r="M276" s="236"/>
      <c r="N276" s="235"/>
      <c r="O276" s="205"/>
      <c r="P276" s="205"/>
      <c r="Q276" s="205"/>
    </row>
    <row r="277" spans="1:17">
      <c r="A277" s="124">
        <v>50000</v>
      </c>
      <c r="B277" s="126" t="s">
        <v>197</v>
      </c>
      <c r="C277" s="125">
        <v>12</v>
      </c>
      <c r="D277" s="125">
        <v>99</v>
      </c>
      <c r="E277" s="125">
        <v>99</v>
      </c>
      <c r="F277" s="261" t="s">
        <v>192</v>
      </c>
      <c r="G277" s="319">
        <v>0</v>
      </c>
      <c r="H277" s="319"/>
      <c r="I277" s="319">
        <v>62834362.43</v>
      </c>
      <c r="J277" s="319"/>
      <c r="K277" s="319">
        <f t="shared" si="88"/>
        <v>0</v>
      </c>
      <c r="L277" s="236"/>
      <c r="M277" s="236"/>
      <c r="N277" s="235"/>
      <c r="O277" s="233"/>
      <c r="P277" s="240"/>
      <c r="Q277" s="240"/>
    </row>
    <row r="278" spans="1:17">
      <c r="A278" s="124">
        <v>50000</v>
      </c>
      <c r="B278" s="137" t="s">
        <v>197</v>
      </c>
      <c r="C278" s="125">
        <v>12</v>
      </c>
      <c r="D278" s="125">
        <v>15</v>
      </c>
      <c r="E278" s="125">
        <v>53</v>
      </c>
      <c r="F278" s="261" t="s">
        <v>99</v>
      </c>
      <c r="G278" s="319">
        <v>0</v>
      </c>
      <c r="H278" s="319">
        <v>12262392</v>
      </c>
      <c r="I278" s="319" t="s">
        <v>1</v>
      </c>
      <c r="J278" s="319"/>
      <c r="K278" s="319">
        <f t="shared" si="88"/>
        <v>-12262392</v>
      </c>
      <c r="L278" s="236"/>
      <c r="M278" s="236"/>
      <c r="N278" s="235"/>
      <c r="O278" s="205"/>
      <c r="P278" s="205"/>
      <c r="Q278" s="205"/>
    </row>
    <row r="279" spans="1:17" ht="13.5" thickBot="1">
      <c r="A279" s="124">
        <v>50000</v>
      </c>
      <c r="B279" s="137" t="s">
        <v>197</v>
      </c>
      <c r="C279" s="125">
        <v>12</v>
      </c>
      <c r="D279" s="125">
        <v>99</v>
      </c>
      <c r="E279" s="125">
        <v>99</v>
      </c>
      <c r="F279" s="261" t="s">
        <v>100</v>
      </c>
      <c r="G279" s="319">
        <v>6500</v>
      </c>
      <c r="H279" s="319"/>
      <c r="I279" s="319" t="s">
        <v>1</v>
      </c>
      <c r="J279" s="319"/>
      <c r="K279" s="319">
        <f t="shared" si="88"/>
        <v>0</v>
      </c>
      <c r="L279" s="236"/>
      <c r="M279" s="236"/>
      <c r="N279" s="235"/>
      <c r="O279" s="205"/>
      <c r="P279" s="205"/>
      <c r="Q279" s="205"/>
    </row>
    <row r="280" spans="1:17" ht="26.25" thickBot="1">
      <c r="F280" s="500" t="s">
        <v>291</v>
      </c>
      <c r="G280" s="497">
        <f t="shared" ref="G280:Q280" si="89">SUM(G276:G279)</f>
        <v>1606500</v>
      </c>
      <c r="H280" s="322">
        <f t="shared" si="89"/>
        <v>13862392</v>
      </c>
      <c r="I280" s="322">
        <f t="shared" si="89"/>
        <v>62834362.43</v>
      </c>
      <c r="J280" s="322">
        <f t="shared" si="89"/>
        <v>0</v>
      </c>
      <c r="K280" s="322">
        <f t="shared" si="89"/>
        <v>-13862392</v>
      </c>
      <c r="L280" s="239">
        <f t="shared" si="89"/>
        <v>0</v>
      </c>
      <c r="M280" s="239">
        <f t="shared" si="89"/>
        <v>0</v>
      </c>
      <c r="N280" s="254">
        <f t="shared" si="89"/>
        <v>0</v>
      </c>
      <c r="O280" s="239">
        <f t="shared" si="89"/>
        <v>0</v>
      </c>
      <c r="P280" s="239">
        <f t="shared" si="89"/>
        <v>0</v>
      </c>
      <c r="Q280" s="239">
        <f t="shared" si="89"/>
        <v>0</v>
      </c>
    </row>
    <row r="281" spans="1:17">
      <c r="F281" s="265"/>
      <c r="G281" s="327"/>
      <c r="H281" s="327"/>
      <c r="I281" s="327"/>
      <c r="J281" s="327"/>
      <c r="K281" s="327"/>
      <c r="L281" s="236"/>
      <c r="M281" s="236"/>
      <c r="N281" s="235"/>
      <c r="O281" s="205"/>
      <c r="P281" s="205"/>
      <c r="Q281" s="205"/>
    </row>
    <row r="282" spans="1:17">
      <c r="F282" s="265" t="s">
        <v>547</v>
      </c>
      <c r="G282" s="328"/>
      <c r="H282" s="319"/>
      <c r="I282" s="319" t="s">
        <v>1</v>
      </c>
      <c r="J282" s="319"/>
      <c r="K282" s="319"/>
      <c r="L282" s="236"/>
      <c r="M282" s="236"/>
      <c r="N282" s="235"/>
      <c r="O282" s="205"/>
      <c r="P282" s="205"/>
      <c r="Q282" s="205"/>
    </row>
    <row r="283" spans="1:17">
      <c r="A283" s="124">
        <v>51000</v>
      </c>
      <c r="B283" s="137" t="s">
        <v>197</v>
      </c>
      <c r="C283" s="125">
        <v>12</v>
      </c>
      <c r="D283" s="125">
        <v>99</v>
      </c>
      <c r="E283" s="125">
        <v>99</v>
      </c>
      <c r="F283" s="261" t="s">
        <v>100</v>
      </c>
      <c r="G283" s="319" t="s">
        <v>1</v>
      </c>
      <c r="H283" s="319">
        <v>0</v>
      </c>
      <c r="I283" s="319" t="s">
        <v>1</v>
      </c>
      <c r="J283" s="319">
        <v>0</v>
      </c>
      <c r="K283" s="319"/>
      <c r="L283" s="236"/>
      <c r="M283" s="236"/>
      <c r="N283" s="235"/>
      <c r="O283" s="205">
        <v>500000</v>
      </c>
      <c r="P283" s="205">
        <v>500000</v>
      </c>
      <c r="Q283" s="205">
        <v>500000</v>
      </c>
    </row>
    <row r="284" spans="1:17">
      <c r="A284" s="124">
        <v>51000</v>
      </c>
      <c r="B284" s="126" t="s">
        <v>197</v>
      </c>
      <c r="C284" s="125">
        <v>12</v>
      </c>
      <c r="D284" s="125">
        <v>16</v>
      </c>
      <c r="E284" s="125">
        <v>19</v>
      </c>
      <c r="F284" s="245" t="s">
        <v>234</v>
      </c>
      <c r="G284" s="319">
        <v>0</v>
      </c>
      <c r="H284" s="319"/>
      <c r="I284" s="319" t="s">
        <v>1</v>
      </c>
      <c r="J284" s="319">
        <v>0</v>
      </c>
      <c r="K284" s="319">
        <f t="shared" ref="K284:K285" si="90">J284-H284</f>
        <v>0</v>
      </c>
      <c r="L284" s="236"/>
      <c r="M284" s="236"/>
      <c r="N284" s="235"/>
      <c r="O284" s="205">
        <v>2310000</v>
      </c>
      <c r="P284" s="205">
        <v>2541000</v>
      </c>
      <c r="Q284" s="205">
        <v>2795000</v>
      </c>
    </row>
    <row r="285" spans="1:17" ht="13.5" thickBot="1">
      <c r="A285" s="124">
        <v>51000</v>
      </c>
      <c r="B285" s="137" t="s">
        <v>197</v>
      </c>
      <c r="C285" s="125">
        <v>12</v>
      </c>
      <c r="D285" s="125">
        <v>99</v>
      </c>
      <c r="E285" s="125">
        <v>99</v>
      </c>
      <c r="F285" s="261" t="s">
        <v>192</v>
      </c>
      <c r="G285" s="319">
        <v>0</v>
      </c>
      <c r="H285" s="319"/>
      <c r="I285" s="319" t="s">
        <v>1</v>
      </c>
      <c r="J285" s="319"/>
      <c r="K285" s="319">
        <f t="shared" si="90"/>
        <v>0</v>
      </c>
      <c r="L285" s="236"/>
      <c r="M285" s="236"/>
      <c r="N285" s="235"/>
      <c r="O285" s="205"/>
      <c r="P285" s="205"/>
      <c r="Q285" s="205"/>
    </row>
    <row r="286" spans="1:17" ht="26.25" thickBot="1">
      <c r="F286" s="500" t="s">
        <v>548</v>
      </c>
      <c r="G286" s="497">
        <f>SUM(G283:G285)</f>
        <v>0</v>
      </c>
      <c r="H286" s="322">
        <f>SUM(H283:H285)</f>
        <v>0</v>
      </c>
      <c r="I286" s="322">
        <f>SUM(I283:I285)</f>
        <v>0</v>
      </c>
      <c r="J286" s="322">
        <f>SUM(J283:J285)</f>
        <v>0</v>
      </c>
      <c r="K286" s="322">
        <f>SUM(K283:K285)</f>
        <v>0</v>
      </c>
      <c r="L286" s="239">
        <f t="shared" ref="L286:Q286" si="91">SUM(L283:L285)</f>
        <v>0</v>
      </c>
      <c r="M286" s="239">
        <f t="shared" si="91"/>
        <v>0</v>
      </c>
      <c r="N286" s="254">
        <f t="shared" si="91"/>
        <v>0</v>
      </c>
      <c r="O286" s="239">
        <f t="shared" si="91"/>
        <v>2810000</v>
      </c>
      <c r="P286" s="239">
        <f t="shared" si="91"/>
        <v>3041000</v>
      </c>
      <c r="Q286" s="239">
        <f t="shared" si="91"/>
        <v>3295000</v>
      </c>
    </row>
    <row r="287" spans="1:17">
      <c r="B287" s="126"/>
      <c r="F287" s="265" t="s">
        <v>549</v>
      </c>
      <c r="G287" s="328"/>
      <c r="H287" s="319"/>
      <c r="I287" s="319" t="s">
        <v>1</v>
      </c>
      <c r="J287" s="319"/>
      <c r="K287" s="319"/>
      <c r="L287" s="236"/>
      <c r="M287" s="236"/>
      <c r="N287" s="235"/>
      <c r="O287" s="205"/>
      <c r="P287" s="205"/>
      <c r="Q287" s="205"/>
    </row>
    <row r="288" spans="1:17">
      <c r="A288" s="124">
        <v>53000</v>
      </c>
      <c r="B288" s="126" t="s">
        <v>197</v>
      </c>
      <c r="C288" s="125">
        <v>12</v>
      </c>
      <c r="D288" s="125">
        <v>99</v>
      </c>
      <c r="E288" s="125">
        <v>99</v>
      </c>
      <c r="F288" s="261" t="s">
        <v>192</v>
      </c>
      <c r="G288" s="319" t="s">
        <v>1</v>
      </c>
      <c r="H288" s="319"/>
      <c r="I288" s="319" t="s">
        <v>1</v>
      </c>
      <c r="J288" s="319"/>
      <c r="K288" s="319">
        <f t="shared" ref="K288:K289" si="92">J288-H288</f>
        <v>0</v>
      </c>
      <c r="L288" s="236"/>
      <c r="M288" s="236"/>
      <c r="N288" s="235"/>
      <c r="O288" s="205"/>
      <c r="P288" s="205"/>
      <c r="Q288" s="205"/>
    </row>
    <row r="289" spans="1:17" s="409" customFormat="1">
      <c r="A289" s="404">
        <v>53000</v>
      </c>
      <c r="B289" s="413" t="s">
        <v>197</v>
      </c>
      <c r="C289" s="224">
        <v>12</v>
      </c>
      <c r="D289" s="224">
        <v>15</v>
      </c>
      <c r="E289" s="224">
        <v>53</v>
      </c>
      <c r="F289" s="414" t="s">
        <v>554</v>
      </c>
      <c r="G289" s="405">
        <v>0</v>
      </c>
      <c r="H289" s="405"/>
      <c r="I289" s="405" t="s">
        <v>1</v>
      </c>
      <c r="J289" s="405">
        <v>60000</v>
      </c>
      <c r="K289" s="405">
        <f t="shared" si="92"/>
        <v>60000</v>
      </c>
      <c r="L289" s="406"/>
      <c r="M289" s="406"/>
      <c r="N289" s="407"/>
      <c r="O289" s="408">
        <v>60000</v>
      </c>
      <c r="P289" s="408">
        <v>70000</v>
      </c>
      <c r="Q289" s="408">
        <v>80000</v>
      </c>
    </row>
    <row r="290" spans="1:17" ht="13.5" thickBot="1">
      <c r="F290" s="505" t="s">
        <v>550</v>
      </c>
      <c r="G290" s="506">
        <f t="shared" ref="G290:Q290" si="93">SUM(G288:G289)</f>
        <v>0</v>
      </c>
      <c r="H290" s="468">
        <f t="shared" si="93"/>
        <v>0</v>
      </c>
      <c r="I290" s="468">
        <f t="shared" si="93"/>
        <v>0</v>
      </c>
      <c r="J290" s="468">
        <f t="shared" si="93"/>
        <v>60000</v>
      </c>
      <c r="K290" s="468">
        <f t="shared" si="93"/>
        <v>60000</v>
      </c>
      <c r="L290" s="469">
        <f t="shared" si="93"/>
        <v>0</v>
      </c>
      <c r="M290" s="469">
        <f t="shared" si="93"/>
        <v>0</v>
      </c>
      <c r="N290" s="470">
        <f t="shared" si="93"/>
        <v>0</v>
      </c>
      <c r="O290" s="469">
        <f t="shared" si="93"/>
        <v>60000</v>
      </c>
      <c r="P290" s="469">
        <f t="shared" si="93"/>
        <v>70000</v>
      </c>
      <c r="Q290" s="469">
        <f t="shared" si="93"/>
        <v>80000</v>
      </c>
    </row>
    <row r="291" spans="1:17" s="409" customFormat="1">
      <c r="A291" s="404"/>
      <c r="B291" s="224"/>
      <c r="C291" s="224"/>
      <c r="D291" s="224"/>
      <c r="E291" s="224"/>
      <c r="F291" s="414"/>
      <c r="G291" s="452"/>
      <c r="H291" s="405"/>
      <c r="I291" s="405" t="s">
        <v>1</v>
      </c>
      <c r="J291" s="405"/>
      <c r="K291" s="405"/>
      <c r="L291" s="406"/>
      <c r="M291" s="406"/>
      <c r="N291" s="407"/>
      <c r="O291" s="408"/>
      <c r="P291" s="408"/>
      <c r="Q291" s="408"/>
    </row>
    <row r="292" spans="1:17" ht="25.5">
      <c r="F292" s="265" t="s">
        <v>328</v>
      </c>
      <c r="G292" s="328"/>
      <c r="H292" s="319"/>
      <c r="I292" s="319" t="s">
        <v>1</v>
      </c>
      <c r="J292" s="319"/>
      <c r="K292" s="319"/>
      <c r="L292" s="236">
        <f>SUM(J292:J292)</f>
        <v>0</v>
      </c>
      <c r="M292" s="236" t="e">
        <f>#REF!-#REF!</f>
        <v>#REF!</v>
      </c>
      <c r="N292" s="235"/>
      <c r="O292" s="205"/>
      <c r="P292" s="205"/>
      <c r="Q292" s="205"/>
    </row>
    <row r="293" spans="1:17" ht="26.25" thickBot="1">
      <c r="A293" s="124">
        <v>53000</v>
      </c>
      <c r="B293" s="126">
        <v>290</v>
      </c>
      <c r="C293" s="125">
        <v>12</v>
      </c>
      <c r="D293" s="125">
        <v>17</v>
      </c>
      <c r="E293" s="126" t="s">
        <v>204</v>
      </c>
      <c r="F293" s="261" t="s">
        <v>107</v>
      </c>
      <c r="G293" s="319">
        <v>10000000</v>
      </c>
      <c r="H293" s="319"/>
      <c r="I293" s="319" t="s">
        <v>1</v>
      </c>
      <c r="J293" s="319"/>
      <c r="K293" s="319"/>
      <c r="L293" s="236">
        <f>SUM(J293:J293)</f>
        <v>0</v>
      </c>
      <c r="M293" s="236" t="e">
        <f>#REF!-#REF!</f>
        <v>#REF!</v>
      </c>
      <c r="N293" s="235"/>
      <c r="O293" s="205"/>
      <c r="P293" s="205"/>
      <c r="Q293" s="205"/>
    </row>
    <row r="294" spans="1:17" ht="26.25" thickBot="1">
      <c r="F294" s="500" t="s">
        <v>292</v>
      </c>
      <c r="G294" s="497">
        <f>SUM(G293)</f>
        <v>10000000</v>
      </c>
      <c r="H294" s="322">
        <f>SUM(H293)</f>
        <v>0</v>
      </c>
      <c r="I294" s="322">
        <f>SUM(I293)</f>
        <v>0</v>
      </c>
      <c r="J294" s="322">
        <f t="shared" ref="J294" si="94">SUM(J293)</f>
        <v>0</v>
      </c>
      <c r="K294" s="322">
        <f t="shared" ref="K294:Q294" si="95">SUM(K293)</f>
        <v>0</v>
      </c>
      <c r="L294" s="239">
        <f t="shared" si="95"/>
        <v>0</v>
      </c>
      <c r="M294" s="239" t="e">
        <f t="shared" si="95"/>
        <v>#REF!</v>
      </c>
      <c r="N294" s="254">
        <f t="shared" si="95"/>
        <v>0</v>
      </c>
      <c r="O294" s="239">
        <f t="shared" si="95"/>
        <v>0</v>
      </c>
      <c r="P294" s="239">
        <f t="shared" si="95"/>
        <v>0</v>
      </c>
      <c r="Q294" s="239">
        <f t="shared" si="95"/>
        <v>0</v>
      </c>
    </row>
    <row r="295" spans="1:17">
      <c r="F295" s="261"/>
      <c r="G295" s="328"/>
      <c r="H295" s="319"/>
      <c r="I295" s="319" t="s">
        <v>1</v>
      </c>
      <c r="J295" s="319"/>
      <c r="K295" s="319"/>
      <c r="L295" s="236"/>
      <c r="M295" s="236"/>
      <c r="N295" s="235"/>
      <c r="O295" s="205"/>
      <c r="P295" s="205"/>
      <c r="Q295" s="205"/>
    </row>
    <row r="296" spans="1:17">
      <c r="F296" s="265" t="s">
        <v>330</v>
      </c>
      <c r="G296" s="328"/>
      <c r="H296" s="319"/>
      <c r="I296" s="319" t="s">
        <v>1</v>
      </c>
      <c r="J296" s="319"/>
      <c r="K296" s="319"/>
      <c r="L296" s="236"/>
      <c r="M296" s="236"/>
      <c r="N296" s="235"/>
      <c r="O296" s="205"/>
      <c r="P296" s="205"/>
      <c r="Q296" s="205"/>
    </row>
    <row r="297" spans="1:17">
      <c r="A297" s="124">
        <v>50000</v>
      </c>
      <c r="B297" s="126" t="s">
        <v>197</v>
      </c>
      <c r="C297" s="125">
        <v>12</v>
      </c>
      <c r="D297" s="125">
        <v>15</v>
      </c>
      <c r="E297" s="126">
        <v>50</v>
      </c>
      <c r="F297" s="261" t="s">
        <v>331</v>
      </c>
      <c r="G297" s="319">
        <v>1237387</v>
      </c>
      <c r="H297" s="319">
        <v>1368414</v>
      </c>
      <c r="I297" s="319" t="s">
        <v>1</v>
      </c>
      <c r="J297" s="319">
        <v>1233310</v>
      </c>
      <c r="K297" s="319">
        <f t="shared" ref="K297:K298" si="96">J297-H297</f>
        <v>-135104</v>
      </c>
      <c r="L297" s="236"/>
      <c r="M297" s="236"/>
      <c r="N297" s="235"/>
      <c r="O297" s="205">
        <v>1428000</v>
      </c>
      <c r="P297" s="205">
        <v>1653780</v>
      </c>
      <c r="Q297" s="205">
        <v>1735456</v>
      </c>
    </row>
    <row r="298" spans="1:17" ht="13.5" thickBot="1">
      <c r="A298" s="124">
        <v>50000</v>
      </c>
      <c r="B298" s="126" t="s">
        <v>197</v>
      </c>
      <c r="C298" s="125">
        <v>12</v>
      </c>
      <c r="D298" s="125">
        <v>15</v>
      </c>
      <c r="E298" s="126" t="s">
        <v>209</v>
      </c>
      <c r="F298" s="261" t="s">
        <v>332</v>
      </c>
      <c r="G298" s="319">
        <v>5347500</v>
      </c>
      <c r="H298" s="319">
        <v>2274000</v>
      </c>
      <c r="I298" s="319" t="s">
        <v>1</v>
      </c>
      <c r="J298" s="319">
        <v>3849000</v>
      </c>
      <c r="K298" s="319">
        <f t="shared" si="96"/>
        <v>1575000</v>
      </c>
      <c r="L298" s="236"/>
      <c r="M298" s="236"/>
      <c r="N298" s="235"/>
      <c r="O298" s="205">
        <v>1358000</v>
      </c>
      <c r="P298" s="205">
        <v>1156000</v>
      </c>
      <c r="Q298" s="205">
        <v>1858000</v>
      </c>
    </row>
    <row r="299" spans="1:17" ht="13.5" thickBot="1">
      <c r="E299" s="126"/>
      <c r="F299" s="500" t="s">
        <v>336</v>
      </c>
      <c r="G299" s="497">
        <f>SUM(G297:G298)</f>
        <v>6584887</v>
      </c>
      <c r="H299" s="322">
        <f>SUM(H297:H298)</f>
        <v>3642414</v>
      </c>
      <c r="I299" s="322">
        <f>SUM(I297:I298)</f>
        <v>0</v>
      </c>
      <c r="J299" s="322">
        <f t="shared" ref="J299" si="97">SUM(J297:J298)</f>
        <v>5082310</v>
      </c>
      <c r="K299" s="322">
        <f t="shared" ref="K299:Q299" si="98">SUM(K297:K298)</f>
        <v>1439896</v>
      </c>
      <c r="L299" s="239">
        <f t="shared" si="98"/>
        <v>0</v>
      </c>
      <c r="M299" s="239">
        <f t="shared" si="98"/>
        <v>0</v>
      </c>
      <c r="N299" s="254">
        <f t="shared" si="98"/>
        <v>0</v>
      </c>
      <c r="O299" s="239">
        <f t="shared" si="98"/>
        <v>2786000</v>
      </c>
      <c r="P299" s="239">
        <f t="shared" si="98"/>
        <v>2809780</v>
      </c>
      <c r="Q299" s="239">
        <f t="shared" si="98"/>
        <v>3593456</v>
      </c>
    </row>
    <row r="300" spans="1:17">
      <c r="F300" s="261"/>
      <c r="G300" s="328"/>
      <c r="H300" s="319"/>
      <c r="I300" s="319" t="s">
        <v>1</v>
      </c>
      <c r="J300" s="319"/>
      <c r="K300" s="319"/>
      <c r="L300" s="236"/>
      <c r="M300" s="236"/>
      <c r="N300" s="235"/>
      <c r="O300" s="205"/>
      <c r="P300" s="205"/>
      <c r="Q300" s="205"/>
    </row>
    <row r="301" spans="1:17">
      <c r="F301" s="265" t="s">
        <v>337</v>
      </c>
      <c r="G301" s="328"/>
      <c r="H301" s="319"/>
      <c r="I301" s="319" t="s">
        <v>1</v>
      </c>
      <c r="J301" s="319"/>
      <c r="K301" s="319"/>
      <c r="L301" s="236"/>
      <c r="M301" s="236"/>
      <c r="N301" s="235"/>
      <c r="O301" s="205"/>
      <c r="P301" s="205"/>
      <c r="Q301" s="205"/>
    </row>
    <row r="302" spans="1:17">
      <c r="A302" s="124">
        <v>53000</v>
      </c>
      <c r="B302" s="126" t="s">
        <v>197</v>
      </c>
      <c r="C302" s="125">
        <v>12</v>
      </c>
      <c r="D302" s="126" t="s">
        <v>201</v>
      </c>
      <c r="E302" s="125">
        <v>35</v>
      </c>
      <c r="F302" s="261" t="s">
        <v>525</v>
      </c>
      <c r="G302" s="319">
        <v>2520000</v>
      </c>
      <c r="H302" s="319">
        <v>3000000</v>
      </c>
      <c r="I302" s="319" t="s">
        <v>1</v>
      </c>
      <c r="J302" s="319">
        <v>3300000</v>
      </c>
      <c r="K302" s="319">
        <f t="shared" ref="K302:K306" si="99">J302-H302</f>
        <v>300000</v>
      </c>
      <c r="L302" s="236"/>
      <c r="M302" s="236"/>
      <c r="N302" s="235"/>
      <c r="O302" s="205">
        <v>3600000</v>
      </c>
      <c r="P302" s="205">
        <v>3645000</v>
      </c>
      <c r="Q302" s="205">
        <v>3690000</v>
      </c>
    </row>
    <row r="303" spans="1:17">
      <c r="A303" s="124">
        <v>53000</v>
      </c>
      <c r="B303" s="126" t="s">
        <v>197</v>
      </c>
      <c r="C303" s="125">
        <v>12</v>
      </c>
      <c r="D303" s="126" t="s">
        <v>201</v>
      </c>
      <c r="E303" s="125">
        <v>36</v>
      </c>
      <c r="F303" s="261" t="s">
        <v>333</v>
      </c>
      <c r="G303" s="319">
        <v>80000</v>
      </c>
      <c r="H303" s="319">
        <v>100000</v>
      </c>
      <c r="I303" s="319" t="s">
        <v>1</v>
      </c>
      <c r="J303" s="319">
        <v>100000</v>
      </c>
      <c r="K303" s="319">
        <f t="shared" si="99"/>
        <v>0</v>
      </c>
      <c r="L303" s="236"/>
      <c r="M303" s="236"/>
      <c r="N303" s="235"/>
      <c r="O303" s="205">
        <v>12000</v>
      </c>
      <c r="P303" s="205">
        <v>140000</v>
      </c>
      <c r="Q303" s="205">
        <v>180000</v>
      </c>
    </row>
    <row r="304" spans="1:17">
      <c r="A304" s="124">
        <v>53000</v>
      </c>
      <c r="B304" s="126" t="s">
        <v>197</v>
      </c>
      <c r="C304" s="125">
        <v>12</v>
      </c>
      <c r="D304" s="126" t="s">
        <v>201</v>
      </c>
      <c r="E304" s="125">
        <v>37</v>
      </c>
      <c r="F304" s="261" t="s">
        <v>334</v>
      </c>
      <c r="G304" s="319">
        <v>480000</v>
      </c>
      <c r="H304" s="319">
        <v>150000</v>
      </c>
      <c r="I304" s="319" t="s">
        <v>1</v>
      </c>
      <c r="J304" s="319">
        <v>150000</v>
      </c>
      <c r="K304" s="319">
        <f t="shared" si="99"/>
        <v>0</v>
      </c>
      <c r="L304" s="236"/>
      <c r="M304" s="236"/>
      <c r="N304" s="235"/>
      <c r="O304" s="205">
        <v>180000</v>
      </c>
      <c r="P304" s="205">
        <v>210000</v>
      </c>
      <c r="Q304" s="205">
        <v>270000</v>
      </c>
    </row>
    <row r="305" spans="1:20">
      <c r="A305" s="124">
        <v>53000</v>
      </c>
      <c r="B305" s="126" t="s">
        <v>197</v>
      </c>
      <c r="C305" s="125">
        <v>12</v>
      </c>
      <c r="D305" s="126" t="s">
        <v>201</v>
      </c>
      <c r="E305" s="125">
        <v>38</v>
      </c>
      <c r="F305" s="261" t="s">
        <v>335</v>
      </c>
      <c r="G305" s="319">
        <v>2000</v>
      </c>
      <c r="H305" s="319">
        <v>2000</v>
      </c>
      <c r="I305" s="319" t="s">
        <v>1</v>
      </c>
      <c r="J305" s="319">
        <v>30000</v>
      </c>
      <c r="K305" s="319">
        <f t="shared" si="99"/>
        <v>28000</v>
      </c>
      <c r="L305" s="236"/>
      <c r="M305" s="236"/>
      <c r="N305" s="235"/>
      <c r="O305" s="205">
        <v>32000</v>
      </c>
      <c r="P305" s="205">
        <v>34000</v>
      </c>
      <c r="Q305" s="205">
        <v>36000</v>
      </c>
    </row>
    <row r="306" spans="1:20" ht="13.5" thickBot="1">
      <c r="A306" s="124">
        <v>53000</v>
      </c>
      <c r="B306" s="126" t="s">
        <v>197</v>
      </c>
      <c r="C306" s="125">
        <v>12</v>
      </c>
      <c r="D306" s="126">
        <v>30</v>
      </c>
      <c r="E306" s="125">
        <v>99</v>
      </c>
      <c r="F306" s="245" t="s">
        <v>36</v>
      </c>
      <c r="G306" s="319">
        <v>10000</v>
      </c>
      <c r="H306" s="319">
        <v>20000</v>
      </c>
      <c r="I306" s="319">
        <v>75000</v>
      </c>
      <c r="J306" s="319">
        <v>20000</v>
      </c>
      <c r="K306" s="319">
        <f t="shared" si="99"/>
        <v>0</v>
      </c>
      <c r="L306" s="236"/>
      <c r="M306" s="236"/>
      <c r="N306" s="235"/>
      <c r="O306" s="205">
        <v>20000</v>
      </c>
      <c r="P306" s="205">
        <v>22000</v>
      </c>
      <c r="Q306" s="205">
        <v>23000</v>
      </c>
    </row>
    <row r="307" spans="1:20" ht="26.25" thickBot="1">
      <c r="F307" s="500" t="s">
        <v>338</v>
      </c>
      <c r="G307" s="497">
        <f>SUM(G302:G306)</f>
        <v>3092000</v>
      </c>
      <c r="H307" s="322">
        <f>SUM(H302:H306)</f>
        <v>3272000</v>
      </c>
      <c r="I307" s="322">
        <f>SUM(I302:I306)</f>
        <v>75000</v>
      </c>
      <c r="J307" s="322">
        <f t="shared" ref="J307" si="100">SUM(J302:J306)</f>
        <v>3600000</v>
      </c>
      <c r="K307" s="322">
        <f t="shared" ref="K307:Q307" si="101">SUM(K302:K306)</f>
        <v>328000</v>
      </c>
      <c r="L307" s="239">
        <f t="shared" si="101"/>
        <v>0</v>
      </c>
      <c r="M307" s="239">
        <f t="shared" si="101"/>
        <v>0</v>
      </c>
      <c r="N307" s="254">
        <f t="shared" si="101"/>
        <v>0</v>
      </c>
      <c r="O307" s="239">
        <f t="shared" si="101"/>
        <v>3844000</v>
      </c>
      <c r="P307" s="239">
        <f t="shared" si="101"/>
        <v>4051000</v>
      </c>
      <c r="Q307" s="239">
        <f t="shared" si="101"/>
        <v>4199000</v>
      </c>
    </row>
    <row r="308" spans="1:20">
      <c r="F308" s="245"/>
      <c r="G308" s="328"/>
      <c r="H308" s="319"/>
      <c r="I308" s="319" t="s">
        <v>1</v>
      </c>
      <c r="J308" s="319"/>
      <c r="K308" s="319"/>
      <c r="L308" s="236"/>
      <c r="M308" s="236"/>
      <c r="N308" s="235"/>
      <c r="O308" s="205"/>
      <c r="P308" s="205"/>
      <c r="Q308" s="205"/>
    </row>
    <row r="309" spans="1:20">
      <c r="F309" s="265" t="s">
        <v>101</v>
      </c>
      <c r="G309" s="328"/>
      <c r="H309" s="319"/>
      <c r="I309" s="319" t="s">
        <v>1</v>
      </c>
      <c r="J309" s="319"/>
      <c r="K309" s="319"/>
      <c r="L309" s="236"/>
      <c r="M309" s="236"/>
      <c r="N309" s="235"/>
      <c r="O309" s="205"/>
      <c r="P309" s="205"/>
      <c r="Q309" s="205"/>
    </row>
    <row r="310" spans="1:20">
      <c r="A310" s="124">
        <v>53000</v>
      </c>
      <c r="B310" s="125">
        <v>794</v>
      </c>
      <c r="C310" s="125">
        <v>12</v>
      </c>
      <c r="D310" s="125">
        <v>16</v>
      </c>
      <c r="E310" s="125">
        <v>15</v>
      </c>
      <c r="F310" s="245" t="s">
        <v>102</v>
      </c>
      <c r="G310" s="319">
        <v>7401680</v>
      </c>
      <c r="H310" s="319">
        <v>7122951</v>
      </c>
      <c r="I310" s="319" t="s">
        <v>1</v>
      </c>
      <c r="J310" s="319">
        <v>6474078</v>
      </c>
      <c r="K310" s="319">
        <f t="shared" ref="K310:K316" si="102">J310-H310</f>
        <v>-648873</v>
      </c>
      <c r="L310" s="236"/>
      <c r="M310" s="236"/>
      <c r="N310" s="235"/>
      <c r="O310" s="205">
        <v>6996875</v>
      </c>
      <c r="P310" s="205">
        <v>7263719</v>
      </c>
      <c r="Q310" s="205">
        <v>7549155</v>
      </c>
    </row>
    <row r="311" spans="1:20">
      <c r="A311" s="124">
        <v>53000</v>
      </c>
      <c r="B311" s="125">
        <v>794</v>
      </c>
      <c r="C311" s="125">
        <v>12</v>
      </c>
      <c r="D311" s="126" t="s">
        <v>201</v>
      </c>
      <c r="E311" s="125">
        <v>26</v>
      </c>
      <c r="F311" s="245" t="s">
        <v>524</v>
      </c>
      <c r="G311" s="319">
        <v>0</v>
      </c>
      <c r="H311" s="319"/>
      <c r="I311" s="319" t="s">
        <v>1</v>
      </c>
      <c r="J311" s="319"/>
      <c r="K311" s="319">
        <f t="shared" si="102"/>
        <v>0</v>
      </c>
      <c r="L311" s="236">
        <f>SUM(J311:J311)</f>
        <v>0</v>
      </c>
      <c r="M311" s="236" t="e">
        <f>#REF!-#REF!</f>
        <v>#REF!</v>
      </c>
      <c r="N311" s="235"/>
      <c r="O311" s="205" t="s">
        <v>1</v>
      </c>
      <c r="P311" s="205"/>
      <c r="Q311" s="205"/>
      <c r="S311" s="1" t="s">
        <v>526</v>
      </c>
      <c r="T311" s="5"/>
    </row>
    <row r="312" spans="1:20">
      <c r="A312" s="124">
        <v>53000</v>
      </c>
      <c r="B312" s="125">
        <v>794</v>
      </c>
      <c r="C312" s="125">
        <v>12</v>
      </c>
      <c r="D312" s="126">
        <v>16</v>
      </c>
      <c r="E312" s="125">
        <v>22</v>
      </c>
      <c r="F312" s="245" t="s">
        <v>103</v>
      </c>
      <c r="G312" s="319">
        <v>4664799</v>
      </c>
      <c r="H312" s="319">
        <v>4534758</v>
      </c>
      <c r="I312" s="319" t="s">
        <v>1</v>
      </c>
      <c r="J312" s="319">
        <v>4528366</v>
      </c>
      <c r="K312" s="319">
        <f t="shared" si="102"/>
        <v>-6392</v>
      </c>
      <c r="L312" s="236"/>
      <c r="M312" s="236"/>
      <c r="N312" s="235"/>
      <c r="O312" s="205">
        <v>4726399</v>
      </c>
      <c r="P312" s="205">
        <v>4930852</v>
      </c>
      <c r="Q312" s="205">
        <v>5313823</v>
      </c>
    </row>
    <row r="313" spans="1:20">
      <c r="A313" s="124">
        <v>53000</v>
      </c>
      <c r="B313" s="125">
        <v>794</v>
      </c>
      <c r="C313" s="125">
        <v>12</v>
      </c>
      <c r="D313" s="126" t="s">
        <v>201</v>
      </c>
      <c r="E313" s="125">
        <v>26</v>
      </c>
      <c r="F313" s="245" t="s">
        <v>104</v>
      </c>
      <c r="G313" s="319">
        <v>48500000</v>
      </c>
      <c r="H313" s="319">
        <v>61158500</v>
      </c>
      <c r="I313" s="319" t="s">
        <v>1</v>
      </c>
      <c r="J313" s="319">
        <v>48400160</v>
      </c>
      <c r="K313" s="319">
        <f t="shared" si="102"/>
        <v>-12758340</v>
      </c>
      <c r="L313" s="236">
        <f>SUM(J313:J313)</f>
        <v>48400160</v>
      </c>
      <c r="M313" s="236" t="e">
        <f>#REF!-#REF!</f>
        <v>#REF!</v>
      </c>
      <c r="N313" s="235"/>
      <c r="O313" s="205">
        <v>51022848</v>
      </c>
      <c r="P313" s="205">
        <v>55087017</v>
      </c>
      <c r="Q313" s="205">
        <v>56613153</v>
      </c>
    </row>
    <row r="314" spans="1:20">
      <c r="A314" s="124">
        <v>53000</v>
      </c>
      <c r="B314" s="125">
        <v>794</v>
      </c>
      <c r="C314" s="125">
        <v>12</v>
      </c>
      <c r="D314" s="125">
        <v>16</v>
      </c>
      <c r="E314" s="125">
        <v>23</v>
      </c>
      <c r="F314" s="245" t="s">
        <v>105</v>
      </c>
      <c r="G314" s="319">
        <v>4162500</v>
      </c>
      <c r="H314" s="319">
        <v>4519500</v>
      </c>
      <c r="I314" s="319" t="s">
        <v>1</v>
      </c>
      <c r="J314" s="319">
        <v>4067550</v>
      </c>
      <c r="K314" s="319">
        <f t="shared" si="102"/>
        <v>-451950</v>
      </c>
      <c r="L314" s="236"/>
      <c r="M314" s="236"/>
      <c r="N314" s="235"/>
      <c r="O314" s="205">
        <v>4148898</v>
      </c>
      <c r="P314" s="205">
        <v>4273362</v>
      </c>
      <c r="Q314" s="205">
        <v>4273363</v>
      </c>
    </row>
    <row r="315" spans="1:20">
      <c r="A315" s="124">
        <v>53000</v>
      </c>
      <c r="B315" s="125">
        <v>794</v>
      </c>
      <c r="C315" s="125">
        <v>12</v>
      </c>
      <c r="D315" s="125">
        <v>16</v>
      </c>
      <c r="E315" s="125">
        <v>14</v>
      </c>
      <c r="F315" s="245" t="s">
        <v>106</v>
      </c>
      <c r="G315" s="324">
        <v>1916000</v>
      </c>
      <c r="H315" s="324">
        <v>1922000</v>
      </c>
      <c r="I315" s="319" t="s">
        <v>1</v>
      </c>
      <c r="J315" s="319">
        <v>2775350</v>
      </c>
      <c r="K315" s="319">
        <f t="shared" si="102"/>
        <v>853350</v>
      </c>
      <c r="L315" s="236">
        <f>SUM(L311:L314)</f>
        <v>48400160</v>
      </c>
      <c r="M315" s="237" t="e">
        <f>SUM(M310:M313)</f>
        <v>#REF!</v>
      </c>
      <c r="N315" s="235"/>
      <c r="O315" s="205">
        <v>3027761</v>
      </c>
      <c r="P315" s="205">
        <v>3080891</v>
      </c>
      <c r="Q315" s="205">
        <v>3136677</v>
      </c>
    </row>
    <row r="316" spans="1:20" ht="13.5" thickBot="1">
      <c r="A316" s="124">
        <v>53000</v>
      </c>
      <c r="B316" s="125">
        <v>794</v>
      </c>
      <c r="C316" s="125">
        <v>12</v>
      </c>
      <c r="D316" s="125">
        <v>99</v>
      </c>
      <c r="E316" s="125">
        <v>99</v>
      </c>
      <c r="F316" s="245" t="s">
        <v>36</v>
      </c>
      <c r="G316" s="319">
        <v>52228196</v>
      </c>
      <c r="H316" s="319">
        <v>62995488</v>
      </c>
      <c r="I316" s="319" t="s">
        <v>1</v>
      </c>
      <c r="J316" s="319">
        <v>55612597</v>
      </c>
      <c r="K316" s="319">
        <f t="shared" si="102"/>
        <v>-7382891</v>
      </c>
      <c r="L316" s="236"/>
      <c r="M316" s="236"/>
      <c r="N316" s="235"/>
      <c r="O316" s="205">
        <v>56725544</v>
      </c>
      <c r="P316" s="205">
        <v>58306790</v>
      </c>
      <c r="Q316" s="205">
        <v>58222951</v>
      </c>
    </row>
    <row r="317" spans="1:20" ht="13.5" thickBot="1">
      <c r="F317" s="500" t="s">
        <v>293</v>
      </c>
      <c r="G317" s="497">
        <f>SUM(G310:G316)</f>
        <v>118873175</v>
      </c>
      <c r="H317" s="322">
        <f>SUM(H310:H316)</f>
        <v>142253197</v>
      </c>
      <c r="I317" s="322">
        <f>SUM(I310:I316)</f>
        <v>0</v>
      </c>
      <c r="J317" s="322">
        <f>SUM(J310:J316)</f>
        <v>121858101</v>
      </c>
      <c r="K317" s="322">
        <f t="shared" ref="K317:Q317" si="103">SUM(K310:K316)</f>
        <v>-20395096</v>
      </c>
      <c r="L317" s="239">
        <f t="shared" si="103"/>
        <v>96800320</v>
      </c>
      <c r="M317" s="239" t="e">
        <f t="shared" si="103"/>
        <v>#REF!</v>
      </c>
      <c r="N317" s="254">
        <f t="shared" si="103"/>
        <v>0</v>
      </c>
      <c r="O317" s="239">
        <f t="shared" si="103"/>
        <v>126648325</v>
      </c>
      <c r="P317" s="239">
        <f t="shared" si="103"/>
        <v>132942631</v>
      </c>
      <c r="Q317" s="239">
        <f t="shared" si="103"/>
        <v>135109122</v>
      </c>
    </row>
    <row r="318" spans="1:20">
      <c r="F318" s="261"/>
      <c r="G318" s="328"/>
      <c r="H318" s="319"/>
      <c r="I318" s="319" t="s">
        <v>1</v>
      </c>
      <c r="J318" s="319"/>
      <c r="K318" s="319"/>
      <c r="L318" s="236"/>
      <c r="M318" s="236"/>
      <c r="N318" s="235"/>
      <c r="O318" s="205"/>
      <c r="P318" s="205"/>
      <c r="Q318" s="205"/>
    </row>
    <row r="319" spans="1:20" ht="25.5">
      <c r="F319" s="265" t="s">
        <v>287</v>
      </c>
      <c r="G319" s="328"/>
      <c r="H319" s="319"/>
      <c r="I319" s="319" t="s">
        <v>1</v>
      </c>
      <c r="J319" s="319"/>
      <c r="K319" s="319"/>
      <c r="L319" s="236"/>
      <c r="M319" s="236"/>
      <c r="N319" s="235"/>
      <c r="O319" s="205"/>
      <c r="P319" s="205"/>
      <c r="Q319" s="205"/>
    </row>
    <row r="320" spans="1:20">
      <c r="A320" s="124">
        <v>53000</v>
      </c>
      <c r="B320" s="125">
        <v>155</v>
      </c>
      <c r="C320" s="125">
        <v>12</v>
      </c>
      <c r="D320" s="125">
        <v>17</v>
      </c>
      <c r="E320" s="132">
        <v>17</v>
      </c>
      <c r="F320" s="245" t="s">
        <v>108</v>
      </c>
      <c r="G320" s="319">
        <v>30000</v>
      </c>
      <c r="H320" s="319">
        <v>30000</v>
      </c>
      <c r="I320" s="319" t="s">
        <v>1</v>
      </c>
      <c r="J320" s="319">
        <v>30000</v>
      </c>
      <c r="K320" s="319">
        <f t="shared" ref="K320:K327" si="104">J320-H320</f>
        <v>0</v>
      </c>
      <c r="L320" s="236">
        <f>SUM(J320:J320)</f>
        <v>30000</v>
      </c>
      <c r="M320" s="236" t="e">
        <f>#REF!-#REF!</f>
        <v>#REF!</v>
      </c>
      <c r="N320" s="235"/>
      <c r="O320" s="205">
        <v>30000</v>
      </c>
      <c r="P320" s="205">
        <v>30000</v>
      </c>
      <c r="Q320" s="205">
        <v>30000</v>
      </c>
    </row>
    <row r="321" spans="1:17">
      <c r="A321" s="124">
        <v>53000</v>
      </c>
      <c r="B321" s="125">
        <v>155</v>
      </c>
      <c r="C321" s="125">
        <v>12</v>
      </c>
      <c r="D321" s="126" t="s">
        <v>201</v>
      </c>
      <c r="E321" s="126" t="s">
        <v>208</v>
      </c>
      <c r="F321" s="261" t="s">
        <v>109</v>
      </c>
      <c r="G321" s="319">
        <v>120000</v>
      </c>
      <c r="H321" s="319">
        <v>120000</v>
      </c>
      <c r="I321" s="319" t="s">
        <v>1</v>
      </c>
      <c r="J321" s="319">
        <v>70000</v>
      </c>
      <c r="K321" s="319">
        <f t="shared" si="104"/>
        <v>-50000</v>
      </c>
      <c r="L321" s="236">
        <f>SUM(J321:J321)</f>
        <v>70000</v>
      </c>
      <c r="M321" s="236" t="e">
        <f>#REF!-#REF!</f>
        <v>#REF!</v>
      </c>
      <c r="N321" s="235"/>
      <c r="O321" s="205">
        <v>80000</v>
      </c>
      <c r="P321" s="205">
        <v>80000</v>
      </c>
      <c r="Q321" s="205">
        <v>80000</v>
      </c>
    </row>
    <row r="322" spans="1:17">
      <c r="A322" s="124">
        <v>53000</v>
      </c>
      <c r="B322" s="125">
        <v>155</v>
      </c>
      <c r="C322" s="125">
        <v>12</v>
      </c>
      <c r="D322" s="126" t="s">
        <v>201</v>
      </c>
      <c r="E322" s="126" t="s">
        <v>222</v>
      </c>
      <c r="F322" s="245" t="s">
        <v>110</v>
      </c>
      <c r="G322" s="319">
        <v>0</v>
      </c>
      <c r="H322" s="319"/>
      <c r="I322" s="319" t="s">
        <v>1</v>
      </c>
      <c r="J322" s="319"/>
      <c r="K322" s="319">
        <f t="shared" si="104"/>
        <v>0</v>
      </c>
      <c r="L322" s="236">
        <f>SUM(J322:J322)</f>
        <v>0</v>
      </c>
      <c r="M322" s="236" t="e">
        <f>#REF!-#REF!</f>
        <v>#REF!</v>
      </c>
      <c r="N322" s="235"/>
      <c r="O322" s="205"/>
      <c r="P322" s="205"/>
      <c r="Q322" s="205"/>
    </row>
    <row r="323" spans="1:17">
      <c r="A323" s="124">
        <v>53000</v>
      </c>
      <c r="B323" s="125">
        <v>155</v>
      </c>
      <c r="C323" s="125">
        <v>12</v>
      </c>
      <c r="D323" s="125">
        <v>16</v>
      </c>
      <c r="E323" s="132">
        <v>25</v>
      </c>
      <c r="F323" s="245" t="s">
        <v>111</v>
      </c>
      <c r="G323" s="319">
        <v>50000</v>
      </c>
      <c r="H323" s="319">
        <v>50000</v>
      </c>
      <c r="I323" s="319" t="s">
        <v>1</v>
      </c>
      <c r="J323" s="319">
        <v>40000</v>
      </c>
      <c r="K323" s="319">
        <f t="shared" si="104"/>
        <v>-10000</v>
      </c>
      <c r="L323" s="236">
        <f>SUM(J323:J323)</f>
        <v>40000</v>
      </c>
      <c r="M323" s="236" t="e">
        <f>#REF!-#REF!</f>
        <v>#REF!</v>
      </c>
      <c r="N323" s="235"/>
      <c r="O323" s="205">
        <v>40000</v>
      </c>
      <c r="P323" s="205">
        <v>40000</v>
      </c>
      <c r="Q323" s="205">
        <v>40000</v>
      </c>
    </row>
    <row r="324" spans="1:17">
      <c r="A324" s="124">
        <v>53000</v>
      </c>
      <c r="B324" s="125">
        <v>155</v>
      </c>
      <c r="C324" s="125">
        <v>12</v>
      </c>
      <c r="D324" s="125">
        <v>14</v>
      </c>
      <c r="E324" s="126" t="s">
        <v>204</v>
      </c>
      <c r="F324" s="245" t="s">
        <v>112</v>
      </c>
      <c r="G324" s="319">
        <v>270000</v>
      </c>
      <c r="H324" s="319">
        <v>270000</v>
      </c>
      <c r="I324" s="319" t="s">
        <v>1</v>
      </c>
      <c r="J324" s="319">
        <v>157500</v>
      </c>
      <c r="K324" s="319">
        <f t="shared" si="104"/>
        <v>-112500</v>
      </c>
      <c r="L324" s="236">
        <f>SUM(J324:J324)</f>
        <v>157500</v>
      </c>
      <c r="M324" s="236" t="e">
        <f>#REF!-#REF!</f>
        <v>#REF!</v>
      </c>
      <c r="N324" s="235"/>
      <c r="O324" s="205">
        <v>180000</v>
      </c>
      <c r="P324" s="205">
        <v>180000</v>
      </c>
      <c r="Q324" s="205">
        <v>180000</v>
      </c>
    </row>
    <row r="325" spans="1:17" ht="25.5">
      <c r="A325" s="124">
        <v>53000</v>
      </c>
      <c r="B325" s="125">
        <v>155</v>
      </c>
      <c r="C325" s="125">
        <v>12</v>
      </c>
      <c r="D325" s="126" t="s">
        <v>201</v>
      </c>
      <c r="E325" s="126">
        <v>27</v>
      </c>
      <c r="F325" s="245" t="s">
        <v>113</v>
      </c>
      <c r="G325" s="319">
        <v>0</v>
      </c>
      <c r="H325" s="319"/>
      <c r="I325" s="319" t="s">
        <v>1</v>
      </c>
      <c r="J325" s="319"/>
      <c r="K325" s="319">
        <f t="shared" si="104"/>
        <v>0</v>
      </c>
      <c r="L325" s="236"/>
      <c r="M325" s="236"/>
      <c r="N325" s="235"/>
      <c r="O325" s="205" t="s">
        <v>1</v>
      </c>
      <c r="P325" s="205" t="s">
        <v>1</v>
      </c>
      <c r="Q325" s="205" t="s">
        <v>1</v>
      </c>
    </row>
    <row r="326" spans="1:17">
      <c r="A326" s="124">
        <v>53000</v>
      </c>
      <c r="B326" s="125">
        <v>155</v>
      </c>
      <c r="C326" s="125">
        <v>12</v>
      </c>
      <c r="D326" s="126" t="s">
        <v>201</v>
      </c>
      <c r="E326" s="125">
        <v>28</v>
      </c>
      <c r="F326" s="245" t="s">
        <v>114</v>
      </c>
      <c r="G326" s="319">
        <v>300000</v>
      </c>
      <c r="H326" s="319">
        <v>300000</v>
      </c>
      <c r="I326" s="319" t="s">
        <v>1</v>
      </c>
      <c r="J326" s="319">
        <v>350000</v>
      </c>
      <c r="K326" s="319">
        <f t="shared" si="104"/>
        <v>50000</v>
      </c>
      <c r="L326" s="236">
        <f>SUM(J326:J326)</f>
        <v>350000</v>
      </c>
      <c r="M326" s="236" t="e">
        <f>#REF!-#REF!</f>
        <v>#REF!</v>
      </c>
      <c r="N326" s="235"/>
      <c r="O326" s="205">
        <v>350000</v>
      </c>
      <c r="P326" s="205">
        <v>350000</v>
      </c>
      <c r="Q326" s="205">
        <v>350000</v>
      </c>
    </row>
    <row r="327" spans="1:17" ht="13.5" thickBot="1">
      <c r="A327" s="124">
        <v>53000</v>
      </c>
      <c r="B327" s="125">
        <v>155</v>
      </c>
      <c r="C327" s="125">
        <v>12</v>
      </c>
      <c r="D327" s="125">
        <v>99</v>
      </c>
      <c r="E327" s="125">
        <v>99</v>
      </c>
      <c r="F327" s="245" t="s">
        <v>36</v>
      </c>
      <c r="G327" s="319">
        <v>105000</v>
      </c>
      <c r="H327" s="319">
        <v>105000</v>
      </c>
      <c r="I327" s="319">
        <v>389090</v>
      </c>
      <c r="J327" s="319">
        <v>125000</v>
      </c>
      <c r="K327" s="319">
        <f t="shared" si="104"/>
        <v>20000</v>
      </c>
      <c r="L327" s="236">
        <f>SUM(J327:J327)</f>
        <v>125000</v>
      </c>
      <c r="M327" s="236" t="e">
        <f>#REF!-#REF!</f>
        <v>#REF!</v>
      </c>
      <c r="N327" s="235"/>
      <c r="O327" s="205">
        <v>125000</v>
      </c>
      <c r="P327" s="205">
        <v>125000</v>
      </c>
      <c r="Q327" s="205">
        <v>125000</v>
      </c>
    </row>
    <row r="328" spans="1:17" ht="26.25" thickBot="1">
      <c r="F328" s="500" t="s">
        <v>294</v>
      </c>
      <c r="G328" s="497">
        <f>SUM(G320:G327)</f>
        <v>875000</v>
      </c>
      <c r="H328" s="322">
        <f>SUM(H320:H327)</f>
        <v>875000</v>
      </c>
      <c r="I328" s="322">
        <f>SUM(I320:I327)</f>
        <v>389090</v>
      </c>
      <c r="J328" s="322">
        <f t="shared" ref="J328" si="105">SUM(J320:J327)</f>
        <v>772500</v>
      </c>
      <c r="K328" s="322">
        <f t="shared" ref="K328:O328" si="106">SUM(K320:K327)</f>
        <v>-102500</v>
      </c>
      <c r="L328" s="239">
        <f t="shared" si="106"/>
        <v>772500</v>
      </c>
      <c r="M328" s="239" t="e">
        <f t="shared" si="106"/>
        <v>#REF!</v>
      </c>
      <c r="N328" s="254">
        <f t="shared" si="106"/>
        <v>0</v>
      </c>
      <c r="O328" s="239">
        <f t="shared" si="106"/>
        <v>805000</v>
      </c>
      <c r="P328" s="239">
        <f>SUM(P320:P327)</f>
        <v>805000</v>
      </c>
      <c r="Q328" s="239">
        <f>SUM(Q320:Q327)</f>
        <v>805000</v>
      </c>
    </row>
    <row r="329" spans="1:17">
      <c r="F329" s="261"/>
      <c r="G329" s="328"/>
      <c r="H329" s="319"/>
      <c r="I329" s="319" t="s">
        <v>1</v>
      </c>
      <c r="J329" s="319"/>
      <c r="K329" s="319"/>
      <c r="L329" s="236"/>
      <c r="M329" s="236"/>
      <c r="N329" s="235"/>
      <c r="O329" s="205"/>
      <c r="P329" s="205"/>
      <c r="Q329" s="205"/>
    </row>
    <row r="330" spans="1:17">
      <c r="B330" s="1"/>
      <c r="F330" s="265" t="s">
        <v>115</v>
      </c>
      <c r="G330" s="328" t="s">
        <v>1</v>
      </c>
      <c r="H330" s="319"/>
      <c r="I330" s="319" t="s">
        <v>1</v>
      </c>
      <c r="J330" s="319"/>
      <c r="K330" s="319"/>
      <c r="L330" s="236"/>
      <c r="M330" s="236"/>
      <c r="N330" s="235"/>
      <c r="O330" s="205"/>
      <c r="P330" s="205"/>
      <c r="Q330" s="205"/>
    </row>
    <row r="331" spans="1:17" ht="25.5">
      <c r="A331" s="124">
        <v>53000</v>
      </c>
      <c r="B331" s="137" t="s">
        <v>197</v>
      </c>
      <c r="C331" s="125">
        <v>12</v>
      </c>
      <c r="D331" s="126" t="s">
        <v>201</v>
      </c>
      <c r="E331" s="125">
        <v>31</v>
      </c>
      <c r="F331" s="261" t="s">
        <v>508</v>
      </c>
      <c r="G331" s="319">
        <v>331842475</v>
      </c>
      <c r="H331" s="319"/>
      <c r="I331" s="319" t="s">
        <v>1</v>
      </c>
      <c r="J331" s="319">
        <v>336537133</v>
      </c>
      <c r="K331" s="319">
        <f t="shared" ref="K331:K333" si="107">J331-H331</f>
        <v>336537133</v>
      </c>
      <c r="L331" s="236"/>
      <c r="M331" s="236"/>
      <c r="N331" s="235"/>
      <c r="O331" s="205"/>
      <c r="P331" s="205"/>
      <c r="Q331" s="205"/>
    </row>
    <row r="332" spans="1:17" ht="25.5">
      <c r="A332" s="124">
        <v>53000</v>
      </c>
      <c r="B332" s="137" t="s">
        <v>197</v>
      </c>
      <c r="C332" s="125">
        <v>12</v>
      </c>
      <c r="D332" s="126" t="s">
        <v>201</v>
      </c>
      <c r="E332" s="126" t="s">
        <v>227</v>
      </c>
      <c r="F332" s="245" t="s">
        <v>507</v>
      </c>
      <c r="G332" s="319">
        <v>63094971</v>
      </c>
      <c r="H332" s="319"/>
      <c r="I332" s="319" t="s">
        <v>1</v>
      </c>
      <c r="J332" s="319">
        <v>95886516</v>
      </c>
      <c r="K332" s="319">
        <f t="shared" si="107"/>
        <v>95886516</v>
      </c>
      <c r="L332" s="236"/>
      <c r="M332" s="236"/>
      <c r="N332" s="235"/>
      <c r="O332" s="205"/>
      <c r="P332" s="205"/>
      <c r="Q332" s="205"/>
    </row>
    <row r="333" spans="1:17" ht="13.5" thickBot="1">
      <c r="A333" s="124">
        <v>53000</v>
      </c>
      <c r="B333" s="137" t="s">
        <v>197</v>
      </c>
      <c r="C333" s="125">
        <v>12</v>
      </c>
      <c r="D333" s="125">
        <v>99</v>
      </c>
      <c r="E333" s="125">
        <v>99</v>
      </c>
      <c r="F333" s="245" t="s">
        <v>116</v>
      </c>
      <c r="G333" s="319">
        <v>74647574</v>
      </c>
      <c r="H333" s="319"/>
      <c r="I333" s="319" t="s">
        <v>1</v>
      </c>
      <c r="J333" s="319">
        <v>197620617</v>
      </c>
      <c r="K333" s="319">
        <f t="shared" si="107"/>
        <v>197620617</v>
      </c>
      <c r="L333" s="236"/>
      <c r="M333" s="236"/>
      <c r="N333" s="235"/>
      <c r="O333" s="205"/>
      <c r="P333" s="205"/>
      <c r="Q333" s="205"/>
    </row>
    <row r="334" spans="1:17" ht="13.5" thickBot="1">
      <c r="B334" s="1"/>
      <c r="F334" s="500" t="s">
        <v>329</v>
      </c>
      <c r="G334" s="497">
        <f>SUM(G331:G333)</f>
        <v>469585020</v>
      </c>
      <c r="H334" s="322">
        <f>SUM(H331:H333)</f>
        <v>0</v>
      </c>
      <c r="I334" s="322">
        <f>SUM(I331:I333)</f>
        <v>0</v>
      </c>
      <c r="J334" s="322">
        <f t="shared" ref="J334" si="108">SUM(J331:J333)</f>
        <v>630044266</v>
      </c>
      <c r="K334" s="322">
        <f t="shared" ref="K334:Q334" si="109">SUM(K331:K333)</f>
        <v>630044266</v>
      </c>
      <c r="L334" s="239">
        <f t="shared" si="109"/>
        <v>0</v>
      </c>
      <c r="M334" s="239">
        <f t="shared" si="109"/>
        <v>0</v>
      </c>
      <c r="N334" s="254">
        <f t="shared" si="109"/>
        <v>0</v>
      </c>
      <c r="O334" s="239">
        <f t="shared" si="109"/>
        <v>0</v>
      </c>
      <c r="P334" s="239">
        <f t="shared" si="109"/>
        <v>0</v>
      </c>
      <c r="Q334" s="239">
        <f t="shared" si="109"/>
        <v>0</v>
      </c>
    </row>
    <row r="335" spans="1:17">
      <c r="F335" s="261"/>
      <c r="G335" s="328"/>
      <c r="H335" s="319" t="s">
        <v>1</v>
      </c>
      <c r="I335" s="319" t="s">
        <v>1</v>
      </c>
      <c r="J335" s="319"/>
      <c r="K335" s="319"/>
      <c r="L335" s="236"/>
      <c r="M335" s="236"/>
      <c r="N335" s="235"/>
      <c r="O335" s="205"/>
      <c r="P335" s="205"/>
      <c r="Q335" s="205"/>
    </row>
    <row r="336" spans="1:17">
      <c r="F336" s="265" t="s">
        <v>117</v>
      </c>
      <c r="G336" s="328"/>
      <c r="H336" s="319" t="s">
        <v>1</v>
      </c>
      <c r="I336" s="319" t="s">
        <v>1</v>
      </c>
      <c r="J336" s="319"/>
      <c r="K336" s="319"/>
      <c r="L336" s="236"/>
      <c r="M336" s="236"/>
      <c r="N336" s="235"/>
      <c r="O336" s="205"/>
      <c r="P336" s="205"/>
      <c r="Q336" s="205"/>
    </row>
    <row r="337" spans="1:17">
      <c r="A337" s="124">
        <v>53000</v>
      </c>
      <c r="B337" s="125">
        <v>359</v>
      </c>
      <c r="C337" s="125">
        <v>12</v>
      </c>
      <c r="D337" s="126" t="s">
        <v>201</v>
      </c>
      <c r="E337" s="126" t="s">
        <v>232</v>
      </c>
      <c r="F337" s="245" t="s">
        <v>118</v>
      </c>
      <c r="G337" s="319">
        <v>80581000</v>
      </c>
      <c r="H337" s="319"/>
      <c r="I337" s="319">
        <v>36311576.479999997</v>
      </c>
      <c r="J337" s="319">
        <v>82703300</v>
      </c>
      <c r="K337" s="319">
        <f t="shared" ref="K337:K346" si="110">J337-H337</f>
        <v>82703300</v>
      </c>
      <c r="L337" s="236">
        <f>SUM(L320:L336)</f>
        <v>1545000</v>
      </c>
      <c r="M337" s="236" t="e">
        <f>SUM(M320:M327)</f>
        <v>#REF!</v>
      </c>
      <c r="N337" s="235"/>
      <c r="O337" s="205">
        <v>86838500</v>
      </c>
      <c r="P337" s="205"/>
      <c r="Q337" s="205"/>
    </row>
    <row r="338" spans="1:17">
      <c r="A338" s="124">
        <v>53000</v>
      </c>
      <c r="B338" s="125">
        <v>359</v>
      </c>
      <c r="C338" s="125">
        <v>12</v>
      </c>
      <c r="D338" s="125">
        <v>16</v>
      </c>
      <c r="E338" s="126" t="s">
        <v>227</v>
      </c>
      <c r="F338" s="245" t="s">
        <v>119</v>
      </c>
      <c r="G338" s="319">
        <v>45000</v>
      </c>
      <c r="H338" s="319">
        <v>10000</v>
      </c>
      <c r="I338" s="319">
        <v>19830</v>
      </c>
      <c r="J338" s="319">
        <v>1205072</v>
      </c>
      <c r="K338" s="319">
        <f t="shared" si="110"/>
        <v>1195072</v>
      </c>
      <c r="L338" s="236"/>
      <c r="M338" s="236"/>
      <c r="N338" s="235"/>
      <c r="O338" s="205">
        <v>1443840</v>
      </c>
      <c r="P338" s="205"/>
      <c r="Q338" s="205"/>
    </row>
    <row r="339" spans="1:17">
      <c r="A339" s="124">
        <v>53000</v>
      </c>
      <c r="B339" s="125">
        <v>359</v>
      </c>
      <c r="C339" s="125">
        <v>12</v>
      </c>
      <c r="D339" s="125">
        <v>16</v>
      </c>
      <c r="E339" s="126" t="s">
        <v>232</v>
      </c>
      <c r="F339" s="245" t="s">
        <v>120</v>
      </c>
      <c r="G339" s="319">
        <v>216500</v>
      </c>
      <c r="H339" s="319">
        <v>262500</v>
      </c>
      <c r="I339" s="319">
        <v>131950</v>
      </c>
      <c r="J339" s="319">
        <v>725000</v>
      </c>
      <c r="K339" s="319">
        <f t="shared" si="110"/>
        <v>462500</v>
      </c>
      <c r="L339" s="236"/>
      <c r="M339" s="236"/>
      <c r="N339" s="235"/>
      <c r="O339" s="205">
        <v>800000</v>
      </c>
      <c r="P339" s="205"/>
      <c r="Q339" s="205"/>
    </row>
    <row r="340" spans="1:17">
      <c r="A340" s="124">
        <v>53000</v>
      </c>
      <c r="B340" s="125">
        <v>359</v>
      </c>
      <c r="C340" s="125">
        <v>12</v>
      </c>
      <c r="D340" s="126" t="s">
        <v>201</v>
      </c>
      <c r="E340" s="126">
        <v>32</v>
      </c>
      <c r="F340" s="245" t="s">
        <v>340</v>
      </c>
      <c r="G340" s="319">
        <v>398200</v>
      </c>
      <c r="H340" s="319">
        <v>402600</v>
      </c>
      <c r="I340" s="319">
        <v>5173400</v>
      </c>
      <c r="J340" s="319">
        <v>440000</v>
      </c>
      <c r="K340" s="319">
        <f t="shared" si="110"/>
        <v>37400</v>
      </c>
      <c r="L340" s="236"/>
      <c r="M340" s="236"/>
      <c r="N340" s="235"/>
      <c r="O340" s="205">
        <v>484000</v>
      </c>
      <c r="P340" s="205"/>
      <c r="Q340" s="205"/>
    </row>
    <row r="341" spans="1:17" s="409" customFormat="1">
      <c r="A341" s="404">
        <v>53000</v>
      </c>
      <c r="B341" s="224">
        <v>359</v>
      </c>
      <c r="C341" s="224">
        <v>12</v>
      </c>
      <c r="D341" s="411" t="s">
        <v>201</v>
      </c>
      <c r="E341" s="411">
        <v>39</v>
      </c>
      <c r="F341" s="412" t="s">
        <v>341</v>
      </c>
      <c r="G341" s="405">
        <v>422400</v>
      </c>
      <c r="H341" s="405">
        <v>0</v>
      </c>
      <c r="I341" s="405">
        <v>96800</v>
      </c>
      <c r="J341" s="405"/>
      <c r="K341" s="405">
        <f t="shared" si="110"/>
        <v>0</v>
      </c>
      <c r="L341" s="406"/>
      <c r="M341" s="406"/>
      <c r="N341" s="407"/>
      <c r="O341" s="408"/>
      <c r="P341" s="408"/>
      <c r="Q341" s="408"/>
    </row>
    <row r="342" spans="1:17">
      <c r="A342" s="124">
        <v>53000</v>
      </c>
      <c r="B342" s="125">
        <v>359</v>
      </c>
      <c r="C342" s="125">
        <v>12</v>
      </c>
      <c r="D342" s="126" t="s">
        <v>201</v>
      </c>
      <c r="E342" s="126">
        <v>40</v>
      </c>
      <c r="F342" s="245" t="s">
        <v>342</v>
      </c>
      <c r="G342" s="319">
        <v>5011600</v>
      </c>
      <c r="H342" s="319">
        <v>5062200</v>
      </c>
      <c r="I342" s="319">
        <v>2761000</v>
      </c>
      <c r="J342" s="319">
        <v>5005000</v>
      </c>
      <c r="K342" s="319">
        <f t="shared" si="110"/>
        <v>-57200</v>
      </c>
      <c r="L342" s="236"/>
      <c r="M342" s="236"/>
      <c r="N342" s="235"/>
      <c r="O342" s="205">
        <v>5255200</v>
      </c>
      <c r="P342" s="205"/>
      <c r="Q342" s="205"/>
    </row>
    <row r="343" spans="1:17" s="409" customFormat="1">
      <c r="A343" s="404">
        <v>53000</v>
      </c>
      <c r="B343" s="224">
        <v>359</v>
      </c>
      <c r="C343" s="224">
        <v>12</v>
      </c>
      <c r="D343" s="411" t="s">
        <v>201</v>
      </c>
      <c r="E343" s="411">
        <v>41</v>
      </c>
      <c r="F343" s="412" t="s">
        <v>475</v>
      </c>
      <c r="G343" s="405">
        <v>30000</v>
      </c>
      <c r="H343" s="405">
        <v>30000</v>
      </c>
      <c r="I343" s="405">
        <v>0</v>
      </c>
      <c r="J343" s="405">
        <v>30000</v>
      </c>
      <c r="K343" s="405">
        <f t="shared" si="110"/>
        <v>0</v>
      </c>
      <c r="L343" s="406"/>
      <c r="M343" s="406"/>
      <c r="N343" s="407"/>
      <c r="O343" s="408"/>
      <c r="P343" s="408"/>
      <c r="Q343" s="408"/>
    </row>
    <row r="344" spans="1:17">
      <c r="A344" s="124">
        <v>53000</v>
      </c>
      <c r="B344" s="125">
        <v>359</v>
      </c>
      <c r="C344" s="125">
        <v>12</v>
      </c>
      <c r="D344" s="126" t="s">
        <v>201</v>
      </c>
      <c r="E344" s="126">
        <v>42</v>
      </c>
      <c r="F344" s="245" t="s">
        <v>476</v>
      </c>
      <c r="G344" s="319">
        <v>461450</v>
      </c>
      <c r="H344" s="319">
        <v>444000</v>
      </c>
      <c r="I344" s="319">
        <v>295475</v>
      </c>
      <c r="J344" s="319">
        <v>621000</v>
      </c>
      <c r="K344" s="319">
        <f t="shared" si="110"/>
        <v>177000</v>
      </c>
      <c r="L344" s="236"/>
      <c r="M344" s="236"/>
      <c r="N344" s="235"/>
      <c r="O344" s="205">
        <v>631000</v>
      </c>
      <c r="P344" s="205"/>
      <c r="Q344" s="205"/>
    </row>
    <row r="345" spans="1:17">
      <c r="A345" s="124">
        <v>53000</v>
      </c>
      <c r="B345" s="125">
        <v>359</v>
      </c>
      <c r="C345" s="125">
        <v>12</v>
      </c>
      <c r="D345" s="126" t="s">
        <v>201</v>
      </c>
      <c r="E345" s="126">
        <v>43</v>
      </c>
      <c r="F345" s="245" t="s">
        <v>477</v>
      </c>
      <c r="G345" s="319">
        <v>0</v>
      </c>
      <c r="H345" s="319"/>
      <c r="I345" s="319" t="s">
        <v>1</v>
      </c>
      <c r="J345" s="319"/>
      <c r="K345" s="319">
        <f t="shared" si="110"/>
        <v>0</v>
      </c>
      <c r="L345" s="236"/>
      <c r="M345" s="236"/>
      <c r="N345" s="235"/>
      <c r="O345" s="205"/>
      <c r="P345" s="205"/>
      <c r="Q345" s="205"/>
    </row>
    <row r="346" spans="1:17">
      <c r="A346" s="124">
        <v>53000</v>
      </c>
      <c r="B346" s="125">
        <v>359</v>
      </c>
      <c r="C346" s="125">
        <v>12</v>
      </c>
      <c r="D346" s="126" t="s">
        <v>201</v>
      </c>
      <c r="E346" s="126">
        <v>44</v>
      </c>
      <c r="F346" s="245" t="s">
        <v>478</v>
      </c>
      <c r="G346" s="319">
        <v>125000</v>
      </c>
      <c r="H346" s="319"/>
      <c r="I346" s="319" t="s">
        <v>1</v>
      </c>
      <c r="J346" s="319">
        <v>60000</v>
      </c>
      <c r="K346" s="319">
        <f t="shared" si="110"/>
        <v>60000</v>
      </c>
      <c r="L346" s="236"/>
      <c r="M346" s="236"/>
      <c r="N346" s="235"/>
      <c r="O346" s="205">
        <v>90000</v>
      </c>
      <c r="P346" s="205"/>
      <c r="Q346" s="205"/>
    </row>
    <row r="347" spans="1:17" ht="13.5" thickBot="1">
      <c r="A347" s="124">
        <v>53000</v>
      </c>
      <c r="B347" s="125">
        <v>359</v>
      </c>
      <c r="C347" s="125">
        <v>12</v>
      </c>
      <c r="D347" s="125">
        <v>99</v>
      </c>
      <c r="E347" s="125">
        <v>99</v>
      </c>
      <c r="F347" s="245" t="s">
        <v>116</v>
      </c>
      <c r="G347" s="319">
        <v>0</v>
      </c>
      <c r="H347" s="319">
        <v>84360900</v>
      </c>
      <c r="I347" s="319">
        <v>6646506</v>
      </c>
      <c r="J347" s="319"/>
      <c r="K347" s="319"/>
      <c r="L347" s="236"/>
      <c r="M347" s="236"/>
      <c r="N347" s="235"/>
      <c r="O347" s="205"/>
      <c r="P347" s="205"/>
      <c r="Q347" s="205"/>
    </row>
    <row r="348" spans="1:17" ht="26.25" thickBot="1">
      <c r="F348" s="500" t="s">
        <v>295</v>
      </c>
      <c r="G348" s="497">
        <f>SUM(G337:G347)</f>
        <v>87291150</v>
      </c>
      <c r="H348" s="322">
        <f>SUM(H337:H347)</f>
        <v>90572200</v>
      </c>
      <c r="I348" s="322">
        <f>SUM(I337:I347)</f>
        <v>51436537.479999997</v>
      </c>
      <c r="J348" s="322">
        <f t="shared" ref="J348" si="111">SUM(J337:J347)</f>
        <v>90789372</v>
      </c>
      <c r="K348" s="322">
        <f t="shared" ref="K348:Q348" si="112">SUM(K337:K347)</f>
        <v>84578072</v>
      </c>
      <c r="L348" s="239">
        <f t="shared" si="112"/>
        <v>1545000</v>
      </c>
      <c r="M348" s="239" t="e">
        <f t="shared" si="112"/>
        <v>#REF!</v>
      </c>
      <c r="N348" s="254">
        <f t="shared" si="112"/>
        <v>0</v>
      </c>
      <c r="O348" s="239">
        <f t="shared" si="112"/>
        <v>95542540</v>
      </c>
      <c r="P348" s="239">
        <f t="shared" si="112"/>
        <v>0</v>
      </c>
      <c r="Q348" s="239">
        <f t="shared" si="112"/>
        <v>0</v>
      </c>
    </row>
    <row r="349" spans="1:17">
      <c r="F349" s="265"/>
      <c r="G349" s="327"/>
      <c r="H349" s="327"/>
      <c r="I349" s="327"/>
      <c r="J349" s="327"/>
      <c r="K349" s="327"/>
      <c r="L349" s="236"/>
      <c r="M349" s="236"/>
      <c r="N349" s="235"/>
      <c r="O349" s="205"/>
      <c r="P349" s="205"/>
      <c r="Q349" s="205"/>
    </row>
    <row r="350" spans="1:17" ht="25.5">
      <c r="F350" s="244" t="s">
        <v>299</v>
      </c>
      <c r="G350" s="328"/>
      <c r="H350" s="319"/>
      <c r="I350" s="319" t="s">
        <v>1</v>
      </c>
      <c r="J350" s="319"/>
      <c r="K350" s="319"/>
      <c r="L350" s="236"/>
      <c r="M350" s="236"/>
      <c r="N350" s="235"/>
      <c r="O350" s="205"/>
      <c r="P350" s="205"/>
      <c r="Q350" s="205"/>
    </row>
    <row r="351" spans="1:17">
      <c r="A351" s="124">
        <v>56000</v>
      </c>
      <c r="B351" s="125">
        <v>224</v>
      </c>
      <c r="C351" s="125">
        <v>12</v>
      </c>
      <c r="D351" s="125">
        <v>16</v>
      </c>
      <c r="E351" s="125">
        <v>26</v>
      </c>
      <c r="F351" s="261" t="s">
        <v>235</v>
      </c>
      <c r="G351" s="319">
        <v>0</v>
      </c>
      <c r="H351" s="319">
        <v>16000000</v>
      </c>
      <c r="I351" s="319">
        <v>11365498.16</v>
      </c>
      <c r="J351" s="319">
        <v>22018000</v>
      </c>
      <c r="K351" s="319">
        <f t="shared" ref="K351:K352" si="113">J351-H351</f>
        <v>6018000</v>
      </c>
      <c r="L351" s="236">
        <f>SUM(L348:L350)</f>
        <v>1545000</v>
      </c>
      <c r="M351" s="236" t="e">
        <f>M348</f>
        <v>#REF!</v>
      </c>
      <c r="N351" s="235"/>
      <c r="O351" s="205">
        <v>21181000</v>
      </c>
      <c r="P351" s="205">
        <v>37022000</v>
      </c>
      <c r="Q351" s="205">
        <v>21408000</v>
      </c>
    </row>
    <row r="352" spans="1:17" ht="13.5" thickBot="1">
      <c r="A352" s="124">
        <v>56000</v>
      </c>
      <c r="B352" s="125">
        <v>224</v>
      </c>
      <c r="C352" s="125">
        <v>12</v>
      </c>
      <c r="D352" s="125">
        <v>99</v>
      </c>
      <c r="E352" s="125">
        <v>99</v>
      </c>
      <c r="F352" s="261" t="s">
        <v>192</v>
      </c>
      <c r="G352" s="319">
        <v>0</v>
      </c>
      <c r="H352" s="319">
        <f>4000000+792001000</f>
        <v>796001000</v>
      </c>
      <c r="I352" s="319">
        <v>45814128.880000003</v>
      </c>
      <c r="J352" s="319">
        <f>250000+104304000</f>
        <v>104554000</v>
      </c>
      <c r="K352" s="319">
        <f t="shared" si="113"/>
        <v>-691447000</v>
      </c>
      <c r="L352" s="236"/>
      <c r="M352" s="236"/>
      <c r="N352" s="235"/>
      <c r="O352" s="205">
        <f>250000+104304000</f>
        <v>104554000</v>
      </c>
      <c r="P352" s="205">
        <f>250000+104304000</f>
        <v>104554000</v>
      </c>
      <c r="Q352" s="205">
        <f>225000+104304000</f>
        <v>104529000</v>
      </c>
    </row>
    <row r="353" spans="1:17" ht="26.25" thickBot="1">
      <c r="F353" s="499" t="s">
        <v>300</v>
      </c>
      <c r="G353" s="497">
        <f>SUM(G351:G352)</f>
        <v>0</v>
      </c>
      <c r="H353" s="322">
        <f>SUM(H351:H352)</f>
        <v>812001000</v>
      </c>
      <c r="I353" s="322">
        <f>SUM(I351:I352)</f>
        <v>57179627.040000007</v>
      </c>
      <c r="J353" s="322">
        <f t="shared" ref="J353" si="114">SUM(J351:J352)</f>
        <v>126572000</v>
      </c>
      <c r="K353" s="322">
        <f t="shared" ref="K353:Q353" si="115">SUM(K351:K352)</f>
        <v>-685429000</v>
      </c>
      <c r="L353" s="239">
        <f t="shared" si="115"/>
        <v>1545000</v>
      </c>
      <c r="M353" s="239" t="e">
        <f t="shared" si="115"/>
        <v>#REF!</v>
      </c>
      <c r="N353" s="254">
        <f t="shared" si="115"/>
        <v>0</v>
      </c>
      <c r="O353" s="239">
        <f t="shared" si="115"/>
        <v>125735000</v>
      </c>
      <c r="P353" s="239">
        <f t="shared" si="115"/>
        <v>141576000</v>
      </c>
      <c r="Q353" s="239">
        <f t="shared" si="115"/>
        <v>125937000</v>
      </c>
    </row>
    <row r="354" spans="1:17">
      <c r="F354" s="245"/>
      <c r="G354" s="328"/>
      <c r="H354" s="319"/>
      <c r="I354" s="319" t="s">
        <v>1</v>
      </c>
      <c r="J354" s="319"/>
      <c r="K354" s="319"/>
      <c r="L354" s="236"/>
      <c r="M354" s="236"/>
      <c r="N354" s="235"/>
      <c r="O354" s="205"/>
      <c r="P354" s="205"/>
      <c r="Q354" s="205"/>
    </row>
    <row r="355" spans="1:17">
      <c r="F355" s="244" t="s">
        <v>124</v>
      </c>
      <c r="G355" s="328"/>
      <c r="H355" s="319"/>
      <c r="I355" s="319" t="s">
        <v>1</v>
      </c>
      <c r="J355" s="319"/>
      <c r="K355" s="319"/>
      <c r="L355" s="236"/>
      <c r="M355" s="236"/>
      <c r="N355" s="235"/>
      <c r="O355" s="205"/>
      <c r="P355" s="205"/>
      <c r="Q355" s="205"/>
    </row>
    <row r="356" spans="1:17">
      <c r="A356" s="124">
        <v>56000</v>
      </c>
      <c r="B356" s="125">
        <v>751</v>
      </c>
      <c r="C356" s="125">
        <v>12</v>
      </c>
      <c r="D356" s="125">
        <v>15</v>
      </c>
      <c r="E356" s="125">
        <v>12</v>
      </c>
      <c r="F356" s="245" t="s">
        <v>125</v>
      </c>
      <c r="G356" s="328">
        <v>0</v>
      </c>
      <c r="H356" s="319"/>
      <c r="I356" s="319" t="s">
        <v>1</v>
      </c>
      <c r="J356" s="319"/>
      <c r="K356" s="319"/>
      <c r="L356" s="236"/>
      <c r="M356" s="236"/>
      <c r="N356" s="235"/>
      <c r="O356" s="205"/>
      <c r="P356" s="205"/>
      <c r="Q356" s="205"/>
    </row>
    <row r="357" spans="1:17">
      <c r="A357" s="124">
        <v>56000</v>
      </c>
      <c r="B357" s="125">
        <v>751</v>
      </c>
      <c r="C357" s="125">
        <v>12</v>
      </c>
      <c r="D357" s="125">
        <v>15</v>
      </c>
      <c r="E357" s="125">
        <v>12</v>
      </c>
      <c r="F357" s="245" t="s">
        <v>126</v>
      </c>
      <c r="G357" s="328">
        <v>0</v>
      </c>
      <c r="H357" s="319"/>
      <c r="I357" s="319" t="s">
        <v>1</v>
      </c>
      <c r="J357" s="319"/>
      <c r="K357" s="319"/>
      <c r="L357" s="236"/>
      <c r="M357" s="236"/>
      <c r="N357" s="235"/>
      <c r="O357" s="205"/>
      <c r="P357" s="205"/>
      <c r="Q357" s="205"/>
    </row>
    <row r="358" spans="1:17">
      <c r="A358" s="124">
        <v>56000</v>
      </c>
      <c r="B358" s="125">
        <v>751</v>
      </c>
      <c r="C358" s="125">
        <v>12</v>
      </c>
      <c r="D358" s="125">
        <v>15</v>
      </c>
      <c r="E358" s="125">
        <v>12</v>
      </c>
      <c r="F358" s="245" t="s">
        <v>259</v>
      </c>
      <c r="G358" s="328">
        <v>0</v>
      </c>
      <c r="H358" s="319">
        <v>86408000</v>
      </c>
      <c r="I358" s="319"/>
      <c r="J358" s="319">
        <v>72878297</v>
      </c>
      <c r="K358" s="319">
        <f t="shared" ref="K358" si="116">J358-H358</f>
        <v>-13529703</v>
      </c>
      <c r="L358" s="236"/>
      <c r="M358" s="236"/>
      <c r="N358" s="235"/>
      <c r="O358" s="205">
        <v>98176641</v>
      </c>
      <c r="P358" s="205">
        <v>108008962</v>
      </c>
      <c r="Q358" s="205">
        <v>117426153</v>
      </c>
    </row>
    <row r="359" spans="1:17" ht="13.5" thickBot="1">
      <c r="A359" s="124">
        <v>56000</v>
      </c>
      <c r="B359" s="125">
        <v>751</v>
      </c>
      <c r="C359" s="125">
        <v>12</v>
      </c>
      <c r="D359" s="125">
        <v>15</v>
      </c>
      <c r="E359" s="125">
        <v>12</v>
      </c>
      <c r="F359" s="245" t="s">
        <v>260</v>
      </c>
      <c r="G359" s="328">
        <v>0</v>
      </c>
      <c r="H359" s="319"/>
      <c r="I359" s="319" t="s">
        <v>1</v>
      </c>
      <c r="J359" s="319"/>
      <c r="K359" s="319"/>
      <c r="L359" s="236"/>
      <c r="M359" s="236"/>
      <c r="N359" s="235"/>
      <c r="O359" s="205"/>
      <c r="P359" s="205"/>
      <c r="Q359" s="205"/>
    </row>
    <row r="360" spans="1:17" ht="13.5" thickBot="1">
      <c r="F360" s="499" t="s">
        <v>297</v>
      </c>
      <c r="G360" s="497">
        <f>SUM(G356:G359)</f>
        <v>0</v>
      </c>
      <c r="H360" s="322">
        <f>SUM(H356:H359)</f>
        <v>86408000</v>
      </c>
      <c r="I360" s="322">
        <f>SUM(I356:I359)</f>
        <v>0</v>
      </c>
      <c r="J360" s="322">
        <f t="shared" ref="J360" si="117">SUM(J356:J359)</f>
        <v>72878297</v>
      </c>
      <c r="K360" s="322">
        <f t="shared" ref="K360:Q360" si="118">SUM(K356:K359)</f>
        <v>-13529703</v>
      </c>
      <c r="L360" s="239">
        <f t="shared" si="118"/>
        <v>0</v>
      </c>
      <c r="M360" s="239">
        <f t="shared" si="118"/>
        <v>0</v>
      </c>
      <c r="N360" s="254">
        <f t="shared" si="118"/>
        <v>0</v>
      </c>
      <c r="O360" s="239">
        <f t="shared" si="118"/>
        <v>98176641</v>
      </c>
      <c r="P360" s="239">
        <f t="shared" si="118"/>
        <v>108008962</v>
      </c>
      <c r="Q360" s="239">
        <f t="shared" si="118"/>
        <v>117426153</v>
      </c>
    </row>
    <row r="361" spans="1:17">
      <c r="F361" s="245"/>
      <c r="G361" s="328"/>
      <c r="H361" s="319"/>
      <c r="I361" s="319" t="s">
        <v>1</v>
      </c>
      <c r="J361" s="320"/>
      <c r="K361" s="319"/>
      <c r="L361" s="236"/>
      <c r="M361" s="236"/>
      <c r="N361" s="235"/>
      <c r="O361" s="205"/>
      <c r="P361" s="205"/>
      <c r="Q361" s="205"/>
    </row>
    <row r="362" spans="1:17">
      <c r="F362" s="244" t="s">
        <v>296</v>
      </c>
      <c r="G362" s="328"/>
      <c r="H362" s="319"/>
      <c r="I362" s="329" t="s">
        <v>1</v>
      </c>
      <c r="J362" s="323"/>
      <c r="K362" s="330"/>
      <c r="L362" s="236">
        <f>SUM(J362:J362)</f>
        <v>0</v>
      </c>
      <c r="M362" s="236" t="e">
        <f>#REF!-#REF!</f>
        <v>#REF!</v>
      </c>
      <c r="N362" s="235"/>
      <c r="O362" s="205"/>
      <c r="P362" s="205"/>
      <c r="Q362" s="205"/>
    </row>
    <row r="363" spans="1:17">
      <c r="A363" s="124">
        <v>56039</v>
      </c>
      <c r="B363" s="126" t="s">
        <v>197</v>
      </c>
      <c r="C363" s="125">
        <v>12</v>
      </c>
      <c r="D363" s="126" t="s">
        <v>216</v>
      </c>
      <c r="E363" s="126" t="s">
        <v>209</v>
      </c>
      <c r="F363" s="245" t="s">
        <v>20</v>
      </c>
      <c r="G363" s="319">
        <v>174335000</v>
      </c>
      <c r="H363" s="319">
        <v>174335000</v>
      </c>
      <c r="I363" s="329">
        <v>58251836</v>
      </c>
      <c r="J363" s="320">
        <v>160000000</v>
      </c>
      <c r="K363" s="330">
        <f t="shared" ref="K363:K374" si="119">J363-H363</f>
        <v>-14335000</v>
      </c>
      <c r="L363" s="236">
        <f>SUM(J363:J363)</f>
        <v>160000000</v>
      </c>
      <c r="M363" s="236" t="e">
        <f>#REF!-#REF!</f>
        <v>#REF!</v>
      </c>
      <c r="N363" s="235"/>
      <c r="O363" s="205">
        <v>162000000</v>
      </c>
      <c r="P363" s="205">
        <v>160000000</v>
      </c>
      <c r="Q363" s="205">
        <v>160000000</v>
      </c>
    </row>
    <row r="364" spans="1:17">
      <c r="A364" s="124">
        <v>56039</v>
      </c>
      <c r="B364" s="126" t="s">
        <v>197</v>
      </c>
      <c r="C364" s="125">
        <v>12</v>
      </c>
      <c r="D364" s="126" t="s">
        <v>216</v>
      </c>
      <c r="E364" s="126" t="s">
        <v>216</v>
      </c>
      <c r="F364" s="245" t="s">
        <v>21</v>
      </c>
      <c r="G364" s="319">
        <v>550000000</v>
      </c>
      <c r="H364" s="319">
        <v>680000000</v>
      </c>
      <c r="I364" s="329">
        <v>114409566</v>
      </c>
      <c r="J364" s="320">
        <v>580000000</v>
      </c>
      <c r="K364" s="330">
        <f t="shared" si="119"/>
        <v>-100000000</v>
      </c>
      <c r="L364" s="236">
        <f>SUM(J364:J364)</f>
        <v>580000000</v>
      </c>
      <c r="M364" s="236" t="e">
        <f>#REF!-#REF!</f>
        <v>#REF!</v>
      </c>
      <c r="N364" s="235"/>
      <c r="O364" s="205">
        <v>585000000</v>
      </c>
      <c r="P364" s="205">
        <v>600000000</v>
      </c>
      <c r="Q364" s="205">
        <v>600000000</v>
      </c>
    </row>
    <row r="365" spans="1:17">
      <c r="A365" s="124">
        <v>56039</v>
      </c>
      <c r="B365" s="126" t="s">
        <v>197</v>
      </c>
      <c r="C365" s="125">
        <v>12</v>
      </c>
      <c r="D365" s="126" t="s">
        <v>216</v>
      </c>
      <c r="E365" s="126" t="s">
        <v>208</v>
      </c>
      <c r="F365" s="261" t="s">
        <v>22</v>
      </c>
      <c r="G365" s="319">
        <v>0</v>
      </c>
      <c r="H365" s="319"/>
      <c r="I365" s="329"/>
      <c r="J365" s="320">
        <v>300000</v>
      </c>
      <c r="K365" s="330">
        <f t="shared" si="119"/>
        <v>300000</v>
      </c>
      <c r="L365" s="236">
        <f>SUM(J365:J365)</f>
        <v>300000</v>
      </c>
      <c r="M365" s="236" t="e">
        <f>#REF!-#REF!</f>
        <v>#REF!</v>
      </c>
      <c r="N365" s="235"/>
      <c r="O365" s="205"/>
      <c r="P365" s="205"/>
      <c r="Q365" s="205"/>
    </row>
    <row r="366" spans="1:17">
      <c r="A366" s="124">
        <v>56039</v>
      </c>
      <c r="B366" s="126" t="s">
        <v>197</v>
      </c>
      <c r="C366" s="125">
        <v>12</v>
      </c>
      <c r="D366" s="126" t="s">
        <v>216</v>
      </c>
      <c r="E366" s="126" t="s">
        <v>222</v>
      </c>
      <c r="F366" s="261" t="s">
        <v>23</v>
      </c>
      <c r="G366" s="319">
        <v>4000000</v>
      </c>
      <c r="H366" s="319">
        <v>4000000</v>
      </c>
      <c r="I366" s="329">
        <v>686000</v>
      </c>
      <c r="J366" s="320">
        <v>2100000</v>
      </c>
      <c r="K366" s="330">
        <f t="shared" si="119"/>
        <v>-1900000</v>
      </c>
      <c r="L366" s="236">
        <f>SUM(J366:J366)</f>
        <v>2100000</v>
      </c>
      <c r="M366" s="236" t="e">
        <f>#REF!-#REF!</f>
        <v>#REF!</v>
      </c>
      <c r="N366" s="235"/>
      <c r="O366" s="205">
        <v>2500000</v>
      </c>
      <c r="P366" s="205">
        <v>3000000</v>
      </c>
      <c r="Q366" s="205">
        <v>3000000</v>
      </c>
    </row>
    <row r="367" spans="1:17">
      <c r="A367" s="124">
        <v>56039</v>
      </c>
      <c r="B367" s="126" t="s">
        <v>197</v>
      </c>
      <c r="C367" s="125">
        <v>12</v>
      </c>
      <c r="D367" s="126" t="s">
        <v>216</v>
      </c>
      <c r="E367" s="126" t="s">
        <v>210</v>
      </c>
      <c r="F367" s="245" t="s">
        <v>24</v>
      </c>
      <c r="G367" s="319">
        <v>0</v>
      </c>
      <c r="H367" s="319"/>
      <c r="I367" s="329"/>
      <c r="J367" s="320"/>
      <c r="K367" s="330">
        <f t="shared" si="119"/>
        <v>0</v>
      </c>
      <c r="L367" s="236"/>
      <c r="M367" s="236"/>
      <c r="N367" s="235"/>
      <c r="O367" s="205"/>
      <c r="P367" s="205"/>
      <c r="Q367" s="205"/>
    </row>
    <row r="368" spans="1:17">
      <c r="A368" s="124">
        <v>56039</v>
      </c>
      <c r="B368" s="126" t="s">
        <v>197</v>
      </c>
      <c r="C368" s="125">
        <v>12</v>
      </c>
      <c r="D368" s="126" t="s">
        <v>216</v>
      </c>
      <c r="E368" s="126" t="s">
        <v>201</v>
      </c>
      <c r="F368" s="245" t="s">
        <v>25</v>
      </c>
      <c r="G368" s="319">
        <v>13976000</v>
      </c>
      <c r="H368" s="319">
        <v>13976000</v>
      </c>
      <c r="I368" s="329">
        <v>5665305.7800000003</v>
      </c>
      <c r="J368" s="320">
        <v>29250000</v>
      </c>
      <c r="K368" s="330">
        <f t="shared" si="119"/>
        <v>15274000</v>
      </c>
      <c r="L368" s="236">
        <f>SUM(L355:L367)</f>
        <v>742400000</v>
      </c>
      <c r="M368" s="236" t="e">
        <f>+SUM(M355:M366)</f>
        <v>#REF!</v>
      </c>
      <c r="N368" s="235"/>
      <c r="O368" s="205">
        <v>32000000</v>
      </c>
      <c r="P368" s="205">
        <v>33000000</v>
      </c>
      <c r="Q368" s="205">
        <v>34500000</v>
      </c>
    </row>
    <row r="369" spans="1:17">
      <c r="A369" s="124">
        <v>56039</v>
      </c>
      <c r="B369" s="126" t="s">
        <v>197</v>
      </c>
      <c r="C369" s="125">
        <v>12</v>
      </c>
      <c r="D369" s="126" t="s">
        <v>216</v>
      </c>
      <c r="E369" s="126" t="s">
        <v>204</v>
      </c>
      <c r="F369" s="245" t="s">
        <v>26</v>
      </c>
      <c r="G369" s="319">
        <v>23908000</v>
      </c>
      <c r="H369" s="319">
        <v>23908000</v>
      </c>
      <c r="I369" s="329">
        <v>3987306</v>
      </c>
      <c r="J369" s="320">
        <v>29000000</v>
      </c>
      <c r="K369" s="330">
        <f t="shared" si="119"/>
        <v>5092000</v>
      </c>
      <c r="L369" s="236"/>
      <c r="M369" s="236"/>
      <c r="N369" s="235"/>
      <c r="O369" s="205">
        <v>29000000</v>
      </c>
      <c r="P369" s="205">
        <v>29000000</v>
      </c>
      <c r="Q369" s="205">
        <v>29000000</v>
      </c>
    </row>
    <row r="370" spans="1:17">
      <c r="A370" s="124">
        <v>56039</v>
      </c>
      <c r="B370" s="126" t="s">
        <v>197</v>
      </c>
      <c r="C370" s="125">
        <v>12</v>
      </c>
      <c r="D370" s="126" t="s">
        <v>216</v>
      </c>
      <c r="E370" s="126" t="s">
        <v>227</v>
      </c>
      <c r="F370" s="245" t="s">
        <v>527</v>
      </c>
      <c r="G370" s="319">
        <v>30500000</v>
      </c>
      <c r="H370" s="319">
        <v>30500000</v>
      </c>
      <c r="I370" s="329"/>
      <c r="J370" s="331">
        <v>11000000</v>
      </c>
      <c r="K370" s="330">
        <f t="shared" si="119"/>
        <v>-19500000</v>
      </c>
      <c r="L370" s="236"/>
      <c r="M370" s="236" t="e">
        <f>SUM(M315,M337,M351,M368,)</f>
        <v>#REF!</v>
      </c>
      <c r="N370" s="235"/>
      <c r="O370" s="205">
        <v>18000000</v>
      </c>
      <c r="P370" s="205">
        <v>18000000</v>
      </c>
      <c r="Q370" s="205">
        <v>18000000</v>
      </c>
    </row>
    <row r="371" spans="1:17">
      <c r="A371" s="124">
        <v>56039</v>
      </c>
      <c r="B371" s="126" t="s">
        <v>197</v>
      </c>
      <c r="C371" s="125">
        <v>12</v>
      </c>
      <c r="D371" s="126" t="s">
        <v>216</v>
      </c>
      <c r="E371" s="126"/>
      <c r="F371" s="245" t="s">
        <v>521</v>
      </c>
      <c r="G371" s="319">
        <v>58960000</v>
      </c>
      <c r="H371" s="319">
        <v>28960000</v>
      </c>
      <c r="I371" s="329">
        <v>1535890</v>
      </c>
      <c r="J371" s="320">
        <v>15000000</v>
      </c>
      <c r="K371" s="330">
        <f t="shared" si="119"/>
        <v>-13960000</v>
      </c>
      <c r="L371" s="236"/>
      <c r="M371" s="236"/>
      <c r="N371" s="235"/>
      <c r="O371" s="205">
        <v>30000000</v>
      </c>
      <c r="P371" s="205">
        <v>40000000</v>
      </c>
      <c r="Q371" s="205">
        <v>50000000</v>
      </c>
    </row>
    <row r="372" spans="1:17">
      <c r="A372" s="124">
        <v>56039</v>
      </c>
      <c r="B372" s="126" t="s">
        <v>197</v>
      </c>
      <c r="C372" s="125">
        <v>12</v>
      </c>
      <c r="D372" s="126" t="s">
        <v>216</v>
      </c>
      <c r="E372" s="125">
        <v>99</v>
      </c>
      <c r="F372" s="245" t="s">
        <v>27</v>
      </c>
      <c r="G372" s="319">
        <v>10000000</v>
      </c>
      <c r="H372" s="319">
        <v>10000000</v>
      </c>
      <c r="I372" s="329">
        <v>3985458.53</v>
      </c>
      <c r="J372" s="320">
        <v>8000000</v>
      </c>
      <c r="K372" s="330">
        <f t="shared" si="119"/>
        <v>-2000000</v>
      </c>
      <c r="L372" s="236"/>
      <c r="M372" s="236"/>
      <c r="N372" s="235"/>
      <c r="O372" s="205">
        <v>8000000</v>
      </c>
      <c r="P372" s="205">
        <v>8000000</v>
      </c>
      <c r="Q372" s="205">
        <v>8000000</v>
      </c>
    </row>
    <row r="373" spans="1:17">
      <c r="A373" s="124">
        <v>56039</v>
      </c>
      <c r="B373" s="126" t="s">
        <v>197</v>
      </c>
      <c r="C373" s="125">
        <v>12</v>
      </c>
      <c r="D373" s="125">
        <v>15</v>
      </c>
      <c r="E373" s="126" t="s">
        <v>222</v>
      </c>
      <c r="F373" s="261" t="s">
        <v>28</v>
      </c>
      <c r="G373" s="319">
        <v>5500000</v>
      </c>
      <c r="H373" s="319">
        <v>5500000</v>
      </c>
      <c r="I373" s="329">
        <v>3314675.69</v>
      </c>
      <c r="J373" s="320">
        <v>6300000</v>
      </c>
      <c r="K373" s="330">
        <f t="shared" si="119"/>
        <v>800000</v>
      </c>
      <c r="L373" s="236"/>
      <c r="M373" s="236"/>
      <c r="N373" s="235"/>
      <c r="O373" s="205">
        <v>6500000</v>
      </c>
      <c r="P373" s="205">
        <v>7000000</v>
      </c>
      <c r="Q373" s="205">
        <v>7000000</v>
      </c>
    </row>
    <row r="374" spans="1:17" ht="25.5">
      <c r="A374" s="124">
        <v>56039</v>
      </c>
      <c r="B374" s="126" t="s">
        <v>197</v>
      </c>
      <c r="C374" s="125">
        <v>12</v>
      </c>
      <c r="D374" s="125">
        <v>15</v>
      </c>
      <c r="E374" s="126" t="s">
        <v>210</v>
      </c>
      <c r="F374" s="261" t="s">
        <v>29</v>
      </c>
      <c r="G374" s="319">
        <v>120167000</v>
      </c>
      <c r="H374" s="319">
        <v>120167000</v>
      </c>
      <c r="I374" s="329"/>
      <c r="J374" s="331">
        <v>120000000</v>
      </c>
      <c r="K374" s="330">
        <f t="shared" si="119"/>
        <v>-167000</v>
      </c>
      <c r="L374" s="236"/>
      <c r="M374" s="236"/>
      <c r="N374" s="235"/>
      <c r="O374" s="205">
        <v>118000000</v>
      </c>
      <c r="P374" s="205">
        <v>118000000</v>
      </c>
      <c r="Q374" s="205">
        <v>116000000</v>
      </c>
    </row>
    <row r="375" spans="1:17" ht="26.25" thickBot="1">
      <c r="A375" s="124">
        <v>56039</v>
      </c>
      <c r="B375" s="126" t="s">
        <v>197</v>
      </c>
      <c r="C375" s="125">
        <v>12</v>
      </c>
      <c r="D375" s="125">
        <v>15</v>
      </c>
      <c r="E375" s="126" t="s">
        <v>201</v>
      </c>
      <c r="F375" s="261" t="s">
        <v>339</v>
      </c>
      <c r="G375" s="328">
        <v>0</v>
      </c>
      <c r="H375" s="319">
        <v>0</v>
      </c>
      <c r="I375" s="329" t="s">
        <v>1</v>
      </c>
      <c r="J375" s="332"/>
      <c r="K375" s="330"/>
      <c r="L375" s="236"/>
      <c r="M375" s="236"/>
      <c r="N375" s="235"/>
      <c r="O375" s="205"/>
      <c r="P375" s="205"/>
      <c r="Q375" s="205"/>
    </row>
    <row r="376" spans="1:17" ht="26.25" thickBot="1">
      <c r="F376" s="499" t="s">
        <v>298</v>
      </c>
      <c r="G376" s="497">
        <f>SUM(G363:G375)</f>
        <v>991346000</v>
      </c>
      <c r="H376" s="322">
        <f>SUM(H363:H375)</f>
        <v>1091346000</v>
      </c>
      <c r="I376" s="322">
        <f>SUM(I363:I375)</f>
        <v>191836038</v>
      </c>
      <c r="J376" s="322">
        <f>SUM(J363:J375)</f>
        <v>960950000</v>
      </c>
      <c r="K376" s="322">
        <f t="shared" ref="K376:Q376" si="120">SUM(K363:K375)</f>
        <v>-130396000</v>
      </c>
      <c r="L376" s="239">
        <f t="shared" si="120"/>
        <v>1484800000</v>
      </c>
      <c r="M376" s="239" t="e">
        <f t="shared" si="120"/>
        <v>#REF!</v>
      </c>
      <c r="N376" s="254">
        <f t="shared" si="120"/>
        <v>0</v>
      </c>
      <c r="O376" s="239">
        <f t="shared" si="120"/>
        <v>991000000</v>
      </c>
      <c r="P376" s="239">
        <f t="shared" si="120"/>
        <v>1016000000</v>
      </c>
      <c r="Q376" s="239">
        <f t="shared" si="120"/>
        <v>1025500000</v>
      </c>
    </row>
    <row r="377" spans="1:17">
      <c r="F377" s="245"/>
      <c r="G377" s="328"/>
      <c r="H377" s="319"/>
      <c r="I377" s="319" t="str">
        <f>[1]new!U361</f>
        <v xml:space="preserve"> </v>
      </c>
      <c r="J377" s="320"/>
      <c r="K377" s="319"/>
      <c r="L377" s="236"/>
      <c r="M377" s="236"/>
      <c r="N377" s="235"/>
      <c r="O377" s="205"/>
      <c r="P377" s="205"/>
      <c r="Q377" s="205"/>
    </row>
    <row r="378" spans="1:17">
      <c r="F378" s="244" t="s">
        <v>301</v>
      </c>
      <c r="G378" s="328"/>
      <c r="H378" s="319"/>
      <c r="I378" s="319" t="s">
        <v>1</v>
      </c>
      <c r="J378" s="323"/>
      <c r="K378" s="319"/>
      <c r="L378" s="236">
        <f>SUM(J378:J378)</f>
        <v>0</v>
      </c>
      <c r="M378" s="236" t="e">
        <f>#REF!-#REF!</f>
        <v>#REF!</v>
      </c>
      <c r="N378" s="235"/>
      <c r="O378" s="205"/>
      <c r="P378" s="205"/>
      <c r="Q378" s="205"/>
    </row>
    <row r="379" spans="1:17">
      <c r="A379" s="124">
        <v>68000</v>
      </c>
      <c r="B379" s="126" t="s">
        <v>197</v>
      </c>
      <c r="C379" s="125">
        <v>12</v>
      </c>
      <c r="D379" s="125">
        <v>16</v>
      </c>
      <c r="E379" s="134" t="s">
        <v>222</v>
      </c>
      <c r="F379" s="261" t="s">
        <v>236</v>
      </c>
      <c r="G379" s="319">
        <v>60000</v>
      </c>
      <c r="H379" s="319">
        <v>60000</v>
      </c>
      <c r="I379" s="319" t="s">
        <v>1</v>
      </c>
      <c r="J379" s="320">
        <v>27000</v>
      </c>
      <c r="K379" s="319">
        <f t="shared" ref="K379:K384" si="121">J379-H379</f>
        <v>-33000</v>
      </c>
      <c r="L379" s="236">
        <f>SUM(J379:J379)</f>
        <v>27000</v>
      </c>
      <c r="M379" s="236" t="e">
        <f>#REF!-#REF!</f>
        <v>#REF!</v>
      </c>
      <c r="N379" s="235"/>
      <c r="O379" s="205">
        <v>45000</v>
      </c>
      <c r="P379" s="205">
        <v>27000</v>
      </c>
      <c r="Q379" s="205">
        <v>45000</v>
      </c>
    </row>
    <row r="380" spans="1:17">
      <c r="A380" s="124">
        <v>68000</v>
      </c>
      <c r="B380" s="126" t="s">
        <v>197</v>
      </c>
      <c r="C380" s="125">
        <v>12</v>
      </c>
      <c r="D380" s="125">
        <v>99</v>
      </c>
      <c r="E380" s="125">
        <v>99</v>
      </c>
      <c r="F380" s="245" t="s">
        <v>134</v>
      </c>
      <c r="G380" s="319">
        <v>70000</v>
      </c>
      <c r="H380" s="319">
        <v>147000</v>
      </c>
      <c r="I380" s="319" t="s">
        <v>1</v>
      </c>
      <c r="J380" s="320">
        <v>13000</v>
      </c>
      <c r="K380" s="319">
        <f t="shared" si="121"/>
        <v>-134000</v>
      </c>
      <c r="L380" s="236">
        <f>SUM(J380:J380)</f>
        <v>13000</v>
      </c>
      <c r="M380" s="236" t="e">
        <f>#REF!-#REF!</f>
        <v>#REF!</v>
      </c>
      <c r="N380" s="235"/>
      <c r="O380" s="205">
        <v>130000</v>
      </c>
      <c r="P380" s="205">
        <v>13000</v>
      </c>
      <c r="Q380" s="205">
        <v>130000</v>
      </c>
    </row>
    <row r="381" spans="1:17">
      <c r="A381" s="124">
        <v>68000</v>
      </c>
      <c r="B381" s="126" t="s">
        <v>197</v>
      </c>
      <c r="C381" s="125">
        <v>12</v>
      </c>
      <c r="D381" s="125">
        <v>99</v>
      </c>
      <c r="E381" s="125">
        <v>99</v>
      </c>
      <c r="F381" s="245" t="s">
        <v>192</v>
      </c>
      <c r="G381" s="319">
        <v>50000</v>
      </c>
      <c r="H381" s="319">
        <v>19000</v>
      </c>
      <c r="I381" s="319">
        <v>267497167.44</v>
      </c>
      <c r="J381" s="320">
        <v>125000</v>
      </c>
      <c r="K381" s="319">
        <f t="shared" si="121"/>
        <v>106000</v>
      </c>
      <c r="L381" s="236">
        <f>SUM(J381:J381)</f>
        <v>125000</v>
      </c>
      <c r="M381" s="236" t="e">
        <f>#REF!-#REF!</f>
        <v>#REF!</v>
      </c>
      <c r="N381" s="235"/>
      <c r="O381" s="205">
        <v>21000</v>
      </c>
      <c r="P381" s="205">
        <v>125000</v>
      </c>
      <c r="Q381" s="205">
        <v>21000</v>
      </c>
    </row>
    <row r="382" spans="1:17">
      <c r="A382" s="124">
        <v>68000</v>
      </c>
      <c r="B382" s="126" t="s">
        <v>197</v>
      </c>
      <c r="C382" s="125">
        <v>12</v>
      </c>
      <c r="D382" s="125">
        <v>10</v>
      </c>
      <c r="E382" s="126" t="s">
        <v>201</v>
      </c>
      <c r="F382" s="245" t="s">
        <v>137</v>
      </c>
      <c r="G382" s="319">
        <v>0</v>
      </c>
      <c r="H382" s="319"/>
      <c r="I382" s="319"/>
      <c r="J382" s="320"/>
      <c r="K382" s="319">
        <f t="shared" si="121"/>
        <v>0</v>
      </c>
      <c r="L382" s="236">
        <f>SUM(L376:L381)</f>
        <v>1484965000</v>
      </c>
      <c r="M382" s="236" t="e">
        <f>SUM(M376:M381)</f>
        <v>#REF!</v>
      </c>
      <c r="N382" s="235"/>
      <c r="O382" s="205"/>
      <c r="P382" s="205"/>
      <c r="Q382" s="205"/>
    </row>
    <row r="383" spans="1:17">
      <c r="A383" s="124">
        <v>68000</v>
      </c>
      <c r="B383" s="126" t="s">
        <v>197</v>
      </c>
      <c r="C383" s="125">
        <v>12</v>
      </c>
      <c r="D383" s="125">
        <v>17</v>
      </c>
      <c r="E383" s="125">
        <v>18</v>
      </c>
      <c r="F383" s="245" t="s">
        <v>237</v>
      </c>
      <c r="G383" s="319">
        <v>0</v>
      </c>
      <c r="H383" s="319"/>
      <c r="I383" s="319"/>
      <c r="J383" s="320"/>
      <c r="K383" s="319">
        <f t="shared" si="121"/>
        <v>0</v>
      </c>
      <c r="L383" s="236"/>
      <c r="M383" s="236"/>
      <c r="N383" s="235"/>
      <c r="O383" s="205"/>
      <c r="P383" s="205"/>
      <c r="Q383" s="205"/>
    </row>
    <row r="384" spans="1:17" ht="13.5" thickBot="1">
      <c r="A384" s="124">
        <v>68000</v>
      </c>
      <c r="B384" s="126" t="s">
        <v>197</v>
      </c>
      <c r="C384" s="125">
        <v>12</v>
      </c>
      <c r="D384" s="125">
        <v>24</v>
      </c>
      <c r="F384" s="245" t="s">
        <v>513</v>
      </c>
      <c r="G384" s="319">
        <v>5775245615</v>
      </c>
      <c r="H384" s="319">
        <v>6565911887</v>
      </c>
      <c r="I384" s="319">
        <v>7030514524.3999996</v>
      </c>
      <c r="J384" s="320">
        <v>3126478000</v>
      </c>
      <c r="K384" s="319">
        <f t="shared" si="121"/>
        <v>-3439433887</v>
      </c>
      <c r="L384" s="236"/>
      <c r="M384" s="236"/>
      <c r="N384" s="235"/>
      <c r="O384" s="205">
        <v>4495931702</v>
      </c>
      <c r="P384" s="205">
        <v>6047068439</v>
      </c>
      <c r="Q384" s="205">
        <v>6537134308</v>
      </c>
    </row>
    <row r="385" spans="1:17" ht="13.5" thickBot="1">
      <c r="F385" s="499" t="s">
        <v>302</v>
      </c>
      <c r="G385" s="497">
        <f>SUM(G379:G384)</f>
        <v>5775425615</v>
      </c>
      <c r="H385" s="322">
        <f>SUM(H379:H384)</f>
        <v>6566137887</v>
      </c>
      <c r="I385" s="322">
        <f>SUM(I379:I384)</f>
        <v>7298011691.8399992</v>
      </c>
      <c r="J385" s="322">
        <f>SUM(J379:J384)</f>
        <v>3126643000</v>
      </c>
      <c r="K385" s="322">
        <f t="shared" ref="K385:Q385" si="122">SUM(K379:K384)</f>
        <v>-3439494887</v>
      </c>
      <c r="L385" s="239">
        <f t="shared" si="122"/>
        <v>1485130000</v>
      </c>
      <c r="M385" s="239" t="e">
        <f t="shared" si="122"/>
        <v>#REF!</v>
      </c>
      <c r="N385" s="254">
        <f t="shared" si="122"/>
        <v>0</v>
      </c>
      <c r="O385" s="239">
        <f t="shared" si="122"/>
        <v>4496127702</v>
      </c>
      <c r="P385" s="239">
        <f t="shared" si="122"/>
        <v>6047233439</v>
      </c>
      <c r="Q385" s="239">
        <f t="shared" si="122"/>
        <v>6537330308</v>
      </c>
    </row>
    <row r="386" spans="1:17">
      <c r="F386" s="245"/>
      <c r="G386" s="328"/>
      <c r="H386" s="319"/>
      <c r="I386" s="319" t="s">
        <v>1</v>
      </c>
      <c r="J386" s="320"/>
      <c r="K386" s="319"/>
      <c r="L386" s="236"/>
      <c r="M386" s="236"/>
      <c r="N386" s="235"/>
      <c r="O386" s="205"/>
      <c r="P386" s="205"/>
      <c r="Q386" s="205"/>
    </row>
    <row r="387" spans="1:17">
      <c r="F387" s="244" t="s">
        <v>303</v>
      </c>
      <c r="G387" s="328"/>
      <c r="H387" s="319"/>
      <c r="I387" s="319" t="s">
        <v>1</v>
      </c>
      <c r="J387" s="323"/>
      <c r="K387" s="319"/>
      <c r="L387" s="236"/>
      <c r="M387" s="236"/>
      <c r="N387" s="235"/>
      <c r="O387" s="205"/>
      <c r="P387" s="205"/>
      <c r="Q387" s="205"/>
    </row>
    <row r="388" spans="1:17">
      <c r="A388" s="124">
        <v>68000</v>
      </c>
      <c r="B388" s="125">
        <v>577</v>
      </c>
      <c r="C388" s="125">
        <v>12</v>
      </c>
      <c r="F388" s="245" t="s">
        <v>502</v>
      </c>
      <c r="G388" s="319">
        <v>700000</v>
      </c>
      <c r="H388" s="319"/>
      <c r="I388" s="319" t="s">
        <v>1</v>
      </c>
      <c r="J388" s="323"/>
      <c r="K388" s="319"/>
      <c r="L388" s="236"/>
      <c r="M388" s="236"/>
      <c r="N388" s="235"/>
      <c r="O388" s="205"/>
      <c r="P388" s="205"/>
      <c r="Q388" s="205"/>
    </row>
    <row r="389" spans="1:17">
      <c r="A389" s="124">
        <v>68000</v>
      </c>
      <c r="B389" s="125">
        <v>577</v>
      </c>
      <c r="C389" s="125">
        <v>12</v>
      </c>
      <c r="D389" s="125">
        <v>8</v>
      </c>
      <c r="E389" s="125">
        <v>14</v>
      </c>
      <c r="F389" s="245" t="s">
        <v>519</v>
      </c>
      <c r="G389" s="319">
        <v>180000</v>
      </c>
      <c r="H389" s="319"/>
      <c r="I389" s="319" t="s">
        <v>1</v>
      </c>
      <c r="J389" s="323"/>
      <c r="K389" s="319"/>
      <c r="L389" s="236"/>
      <c r="M389" s="236"/>
      <c r="N389" s="235"/>
      <c r="O389" s="205"/>
      <c r="P389" s="205"/>
      <c r="Q389" s="205"/>
    </row>
    <row r="390" spans="1:17">
      <c r="A390" s="124">
        <v>68000</v>
      </c>
      <c r="B390" s="125">
        <v>577</v>
      </c>
      <c r="C390" s="125">
        <v>12</v>
      </c>
      <c r="D390" s="126" t="s">
        <v>227</v>
      </c>
      <c r="E390" s="132">
        <v>99</v>
      </c>
      <c r="F390" s="245" t="s">
        <v>122</v>
      </c>
      <c r="G390" s="319">
        <v>20000</v>
      </c>
      <c r="H390" s="319">
        <v>720000</v>
      </c>
      <c r="I390" s="319"/>
      <c r="J390" s="320">
        <v>520000</v>
      </c>
      <c r="K390" s="319">
        <f t="shared" ref="K390:K396" si="123">J390-H390</f>
        <v>-200000</v>
      </c>
      <c r="L390" s="236">
        <f>SUM(J390:J390)</f>
        <v>520000</v>
      </c>
      <c r="M390" s="236" t="e">
        <f>#REF!-#REF!</f>
        <v>#REF!</v>
      </c>
      <c r="N390" s="235"/>
      <c r="O390" s="205">
        <v>500000</v>
      </c>
      <c r="P390" s="205">
        <v>515000</v>
      </c>
      <c r="Q390" s="205">
        <v>521000</v>
      </c>
    </row>
    <row r="391" spans="1:17">
      <c r="A391" s="124">
        <v>68000</v>
      </c>
      <c r="B391" s="125">
        <v>577</v>
      </c>
      <c r="C391" s="125">
        <v>12</v>
      </c>
      <c r="D391" s="125">
        <v>16</v>
      </c>
      <c r="E391" s="126" t="s">
        <v>209</v>
      </c>
      <c r="F391" s="245" t="s">
        <v>123</v>
      </c>
      <c r="G391" s="319">
        <v>9500000</v>
      </c>
      <c r="H391" s="319">
        <v>12000000</v>
      </c>
      <c r="I391" s="319"/>
      <c r="J391" s="320">
        <v>10000000</v>
      </c>
      <c r="K391" s="319">
        <f t="shared" si="123"/>
        <v>-2000000</v>
      </c>
      <c r="L391" s="236"/>
      <c r="M391" s="236"/>
      <c r="N391" s="235"/>
      <c r="O391" s="205">
        <v>9800000</v>
      </c>
      <c r="P391" s="205">
        <v>10200000</v>
      </c>
      <c r="Q391" s="205">
        <v>11000000</v>
      </c>
    </row>
    <row r="392" spans="1:17">
      <c r="A392" s="124">
        <v>68000</v>
      </c>
      <c r="B392" s="125">
        <v>577</v>
      </c>
      <c r="C392" s="125">
        <v>12</v>
      </c>
      <c r="D392" s="125">
        <v>99</v>
      </c>
      <c r="E392" s="125">
        <v>99</v>
      </c>
      <c r="F392" s="245" t="s">
        <v>32</v>
      </c>
      <c r="G392" s="319">
        <v>6500000</v>
      </c>
      <c r="H392" s="319">
        <v>8220000</v>
      </c>
      <c r="I392" s="319">
        <v>4016034.61</v>
      </c>
      <c r="J392" s="320">
        <v>5020000</v>
      </c>
      <c r="K392" s="319">
        <f t="shared" si="123"/>
        <v>-3200000</v>
      </c>
      <c r="L392" s="236">
        <f>SUM(L390:L391)</f>
        <v>520000</v>
      </c>
      <c r="M392" s="236" t="e">
        <f>SUM(M390:M391)</f>
        <v>#REF!</v>
      </c>
      <c r="N392" s="235"/>
      <c r="O392" s="205">
        <v>5030000</v>
      </c>
      <c r="P392" s="205">
        <v>5300000</v>
      </c>
      <c r="Q392" s="205">
        <v>5400000</v>
      </c>
    </row>
    <row r="393" spans="1:17">
      <c r="A393" s="124">
        <v>68000</v>
      </c>
      <c r="B393" s="125">
        <v>577</v>
      </c>
      <c r="C393" s="125">
        <v>12</v>
      </c>
      <c r="D393" s="126" t="s">
        <v>222</v>
      </c>
      <c r="E393" s="126" t="s">
        <v>209</v>
      </c>
      <c r="F393" s="245" t="s">
        <v>238</v>
      </c>
      <c r="G393" s="319">
        <v>760000000</v>
      </c>
      <c r="H393" s="319">
        <v>560000000</v>
      </c>
      <c r="I393" s="319">
        <v>404282933.63999999</v>
      </c>
      <c r="J393" s="320">
        <v>519000000</v>
      </c>
      <c r="K393" s="319">
        <f t="shared" si="123"/>
        <v>-41000000</v>
      </c>
      <c r="L393" s="236"/>
      <c r="M393" s="236"/>
      <c r="N393" s="235"/>
      <c r="O393" s="205">
        <v>500000000</v>
      </c>
      <c r="P393" s="205">
        <v>505000000</v>
      </c>
      <c r="Q393" s="205">
        <v>515000000</v>
      </c>
    </row>
    <row r="394" spans="1:17">
      <c r="A394" s="124">
        <v>68000</v>
      </c>
      <c r="B394" s="125">
        <v>577</v>
      </c>
      <c r="C394" s="125">
        <v>12</v>
      </c>
      <c r="D394" s="126" t="s">
        <v>222</v>
      </c>
      <c r="E394" s="126" t="s">
        <v>208</v>
      </c>
      <c r="F394" s="245" t="s">
        <v>314</v>
      </c>
      <c r="G394" s="319">
        <v>40000000</v>
      </c>
      <c r="H394" s="319">
        <v>40000000</v>
      </c>
      <c r="I394" s="319">
        <v>3993680.37</v>
      </c>
      <c r="J394" s="320">
        <v>31000000</v>
      </c>
      <c r="K394" s="319">
        <f t="shared" si="123"/>
        <v>-9000000</v>
      </c>
      <c r="L394" s="236"/>
      <c r="M394" s="236"/>
      <c r="N394" s="235"/>
      <c r="O394" s="205">
        <v>35000000</v>
      </c>
      <c r="P394" s="205">
        <v>35500000</v>
      </c>
      <c r="Q394" s="205">
        <v>35000000</v>
      </c>
    </row>
    <row r="395" spans="1:17">
      <c r="A395" s="124">
        <v>68000</v>
      </c>
      <c r="B395" s="125">
        <v>577</v>
      </c>
      <c r="C395" s="125">
        <v>12</v>
      </c>
      <c r="D395" s="126" t="s">
        <v>222</v>
      </c>
      <c r="E395" s="126" t="s">
        <v>222</v>
      </c>
      <c r="F395" s="245" t="s">
        <v>315</v>
      </c>
      <c r="G395" s="319">
        <v>0</v>
      </c>
      <c r="H395" s="319"/>
      <c r="I395" s="319"/>
      <c r="J395" s="320"/>
      <c r="K395" s="319">
        <f t="shared" si="123"/>
        <v>0</v>
      </c>
      <c r="L395" s="236"/>
      <c r="M395" s="236"/>
      <c r="N395" s="235"/>
      <c r="O395" s="205"/>
      <c r="P395" s="205"/>
      <c r="Q395" s="205"/>
    </row>
    <row r="396" spans="1:17" ht="13.5" thickBot="1">
      <c r="A396" s="124">
        <v>68000</v>
      </c>
      <c r="B396" s="125">
        <v>577</v>
      </c>
      <c r="C396" s="125">
        <v>12</v>
      </c>
      <c r="D396" s="126">
        <v>99</v>
      </c>
      <c r="E396" s="126">
        <v>99</v>
      </c>
      <c r="F396" s="245" t="s">
        <v>501</v>
      </c>
      <c r="G396" s="319">
        <v>850000</v>
      </c>
      <c r="H396" s="319">
        <v>800000</v>
      </c>
      <c r="I396" s="319">
        <v>394100</v>
      </c>
      <c r="J396" s="320">
        <v>850000</v>
      </c>
      <c r="K396" s="319">
        <f t="shared" si="123"/>
        <v>50000</v>
      </c>
      <c r="L396" s="236"/>
      <c r="M396" s="236"/>
      <c r="N396" s="235"/>
      <c r="O396" s="205">
        <v>810000</v>
      </c>
      <c r="P396" s="205">
        <v>820000</v>
      </c>
      <c r="Q396" s="205">
        <v>800000</v>
      </c>
    </row>
    <row r="397" spans="1:17" ht="13.5" thickBot="1">
      <c r="F397" s="499" t="s">
        <v>304</v>
      </c>
      <c r="G397" s="497">
        <f>SUM(G388:G396)</f>
        <v>817750000</v>
      </c>
      <c r="H397" s="456">
        <f>SUM(H388:H396)</f>
        <v>621740000</v>
      </c>
      <c r="I397" s="456">
        <f>SUM(I388:I396)</f>
        <v>412686748.62</v>
      </c>
      <c r="J397" s="322">
        <f>SUM(J388:J396)</f>
        <v>566390000</v>
      </c>
      <c r="K397" s="456">
        <f t="shared" ref="K397:Q397" si="124">SUM(K388:K396)</f>
        <v>-55350000</v>
      </c>
      <c r="L397" s="465">
        <f t="shared" si="124"/>
        <v>1040000</v>
      </c>
      <c r="M397" s="465" t="e">
        <f t="shared" si="124"/>
        <v>#REF!</v>
      </c>
      <c r="N397" s="466">
        <f t="shared" si="124"/>
        <v>0</v>
      </c>
      <c r="O397" s="465">
        <f t="shared" si="124"/>
        <v>551140000</v>
      </c>
      <c r="P397" s="465">
        <f t="shared" si="124"/>
        <v>557335000</v>
      </c>
      <c r="Q397" s="465">
        <f t="shared" si="124"/>
        <v>567721000</v>
      </c>
    </row>
    <row r="398" spans="1:17" s="409" customFormat="1">
      <c r="A398" s="404"/>
      <c r="B398" s="224"/>
      <c r="C398" s="224"/>
      <c r="D398" s="224"/>
      <c r="E398" s="224"/>
      <c r="F398" s="412"/>
      <c r="G398" s="452"/>
      <c r="H398" s="405"/>
      <c r="I398" s="405" t="str">
        <f>[1]new!U381</f>
        <v xml:space="preserve"> </v>
      </c>
      <c r="J398" s="483"/>
      <c r="K398" s="405"/>
      <c r="L398" s="406"/>
      <c r="M398" s="406"/>
      <c r="N398" s="407"/>
      <c r="O398" s="408"/>
      <c r="P398" s="408"/>
      <c r="Q398" s="408"/>
    </row>
    <row r="399" spans="1:17" ht="25.5">
      <c r="F399" s="244" t="s">
        <v>139</v>
      </c>
      <c r="G399" s="328"/>
      <c r="H399" s="319"/>
      <c r="I399" s="319" t="s">
        <v>1</v>
      </c>
      <c r="J399" s="323"/>
      <c r="K399" s="319"/>
      <c r="L399" s="236"/>
      <c r="M399" s="236"/>
      <c r="N399" s="235"/>
      <c r="O399" s="205"/>
      <c r="P399" s="205"/>
      <c r="Q399" s="205"/>
    </row>
    <row r="400" spans="1:17">
      <c r="A400" s="124">
        <v>72000</v>
      </c>
      <c r="B400" s="125">
        <v>357</v>
      </c>
      <c r="C400" s="125">
        <v>12</v>
      </c>
      <c r="D400" s="125">
        <v>11</v>
      </c>
      <c r="E400" s="125">
        <v>40</v>
      </c>
      <c r="F400" s="245" t="s">
        <v>140</v>
      </c>
      <c r="G400" s="328">
        <v>0</v>
      </c>
      <c r="H400" s="319">
        <v>0</v>
      </c>
      <c r="I400" s="319" t="s">
        <v>1</v>
      </c>
      <c r="J400" s="323"/>
      <c r="K400" s="319"/>
      <c r="L400" s="236"/>
      <c r="M400" s="236"/>
      <c r="N400" s="235"/>
      <c r="O400" s="205"/>
      <c r="P400" s="205"/>
      <c r="Q400" s="205"/>
    </row>
    <row r="401" spans="1:17">
      <c r="A401" s="124">
        <v>72000</v>
      </c>
      <c r="B401" s="125">
        <v>357</v>
      </c>
      <c r="C401" s="125">
        <v>12</v>
      </c>
      <c r="D401" s="125">
        <v>16</v>
      </c>
      <c r="E401" s="126" t="s">
        <v>222</v>
      </c>
      <c r="F401" s="245" t="s">
        <v>142</v>
      </c>
      <c r="G401" s="319">
        <v>8000</v>
      </c>
      <c r="H401" s="319">
        <v>8000</v>
      </c>
      <c r="I401" s="319" t="s">
        <v>1</v>
      </c>
      <c r="J401" s="320">
        <v>34000</v>
      </c>
      <c r="K401" s="319">
        <f t="shared" ref="K401:K406" si="125">J401-H401</f>
        <v>26000</v>
      </c>
      <c r="L401" s="236"/>
      <c r="M401" s="236"/>
      <c r="N401" s="235"/>
      <c r="O401" s="205"/>
      <c r="P401" s="205"/>
      <c r="Q401" s="205"/>
    </row>
    <row r="402" spans="1:17">
      <c r="A402" s="124">
        <v>72000</v>
      </c>
      <c r="B402" s="125">
        <v>357</v>
      </c>
      <c r="C402" s="125">
        <v>12</v>
      </c>
      <c r="D402" s="125">
        <v>15</v>
      </c>
      <c r="E402" s="125">
        <v>52</v>
      </c>
      <c r="F402" s="245" t="s">
        <v>144</v>
      </c>
      <c r="G402" s="319">
        <v>0</v>
      </c>
      <c r="H402" s="319"/>
      <c r="I402" s="319" t="s">
        <v>1</v>
      </c>
      <c r="J402" s="320"/>
      <c r="K402" s="319">
        <f t="shared" si="125"/>
        <v>0</v>
      </c>
      <c r="L402" s="236"/>
      <c r="M402" s="236"/>
      <c r="N402" s="235"/>
      <c r="O402" s="205"/>
      <c r="P402" s="205"/>
      <c r="Q402" s="205"/>
    </row>
    <row r="403" spans="1:17">
      <c r="A403" s="124">
        <v>72000</v>
      </c>
      <c r="B403" s="125">
        <v>357</v>
      </c>
      <c r="C403" s="125">
        <v>12</v>
      </c>
      <c r="D403" s="126" t="s">
        <v>227</v>
      </c>
      <c r="E403" s="126" t="s">
        <v>208</v>
      </c>
      <c r="F403" s="245" t="s">
        <v>348</v>
      </c>
      <c r="G403" s="319">
        <v>0</v>
      </c>
      <c r="H403" s="319"/>
      <c r="I403" s="319" t="s">
        <v>1</v>
      </c>
      <c r="J403" s="320"/>
      <c r="K403" s="319">
        <f t="shared" si="125"/>
        <v>0</v>
      </c>
      <c r="L403" s="236"/>
      <c r="M403" s="236"/>
      <c r="N403" s="235"/>
      <c r="O403" s="205"/>
      <c r="P403" s="205"/>
      <c r="Q403" s="205"/>
    </row>
    <row r="404" spans="1:17">
      <c r="A404" s="124">
        <v>72000</v>
      </c>
      <c r="B404" s="125">
        <v>357</v>
      </c>
      <c r="C404" s="125">
        <v>12</v>
      </c>
      <c r="D404" s="126" t="s">
        <v>210</v>
      </c>
      <c r="E404" s="125">
        <v>10</v>
      </c>
      <c r="F404" s="245" t="s">
        <v>145</v>
      </c>
      <c r="G404" s="319">
        <v>0</v>
      </c>
      <c r="H404" s="319"/>
      <c r="I404" s="319" t="s">
        <v>1</v>
      </c>
      <c r="J404" s="320"/>
      <c r="K404" s="319">
        <f t="shared" si="125"/>
        <v>0</v>
      </c>
      <c r="L404" s="236"/>
      <c r="M404" s="236"/>
      <c r="N404" s="235"/>
      <c r="O404" s="205"/>
      <c r="P404" s="205"/>
      <c r="Q404" s="205"/>
    </row>
    <row r="405" spans="1:17">
      <c r="A405" s="124">
        <v>72000</v>
      </c>
      <c r="B405" s="125">
        <v>357</v>
      </c>
      <c r="C405" s="125">
        <v>12</v>
      </c>
      <c r="D405" s="126" t="s">
        <v>209</v>
      </c>
      <c r="E405" s="126" t="s">
        <v>208</v>
      </c>
      <c r="F405" s="245" t="s">
        <v>146</v>
      </c>
      <c r="G405" s="319">
        <v>0</v>
      </c>
      <c r="H405" s="319"/>
      <c r="I405" s="319" t="s">
        <v>1</v>
      </c>
      <c r="J405" s="320"/>
      <c r="K405" s="319">
        <f t="shared" si="125"/>
        <v>0</v>
      </c>
      <c r="L405" s="236">
        <f>SUM(J405:J405)</f>
        <v>0</v>
      </c>
      <c r="M405" s="236" t="e">
        <f>#REF!-#REF!</f>
        <v>#REF!</v>
      </c>
      <c r="N405" s="235"/>
      <c r="O405" s="205"/>
      <c r="P405" s="205"/>
      <c r="Q405" s="205"/>
    </row>
    <row r="406" spans="1:17" ht="13.5" thickBot="1">
      <c r="A406" s="124">
        <v>72000</v>
      </c>
      <c r="B406" s="125">
        <v>357</v>
      </c>
      <c r="C406" s="125">
        <v>12</v>
      </c>
      <c r="D406" s="125">
        <v>99</v>
      </c>
      <c r="E406" s="125">
        <v>99</v>
      </c>
      <c r="F406" s="245" t="s">
        <v>138</v>
      </c>
      <c r="G406" s="319">
        <v>809776</v>
      </c>
      <c r="H406" s="319">
        <v>420000</v>
      </c>
      <c r="I406" s="319">
        <v>10608537.82</v>
      </c>
      <c r="J406" s="320">
        <v>75750</v>
      </c>
      <c r="K406" s="319">
        <f t="shared" si="125"/>
        <v>-344250</v>
      </c>
      <c r="L406" s="236">
        <f>SUM(J406:J406)</f>
        <v>75750</v>
      </c>
      <c r="M406" s="236" t="e">
        <f>#REF!-#REF!</f>
        <v>#REF!</v>
      </c>
      <c r="N406" s="235"/>
      <c r="O406" s="205"/>
      <c r="P406" s="205"/>
      <c r="Q406" s="205"/>
    </row>
    <row r="407" spans="1:17" ht="26.25" thickBot="1">
      <c r="F407" s="499" t="s">
        <v>311</v>
      </c>
      <c r="G407" s="497">
        <f>SUM(G400:G406)</f>
        <v>817776</v>
      </c>
      <c r="H407" s="322">
        <f>SUM(H400:H406)</f>
        <v>428000</v>
      </c>
      <c r="I407" s="322">
        <f>SUM(I400:I406)</f>
        <v>10608537.82</v>
      </c>
      <c r="J407" s="322">
        <f>SUM(J400:J406)</f>
        <v>109750</v>
      </c>
      <c r="K407" s="322">
        <f t="shared" ref="K407:Q407" si="126">SUM(K400:K406)</f>
        <v>-318250</v>
      </c>
      <c r="L407" s="239">
        <f t="shared" si="126"/>
        <v>75750</v>
      </c>
      <c r="M407" s="239" t="e">
        <f t="shared" si="126"/>
        <v>#REF!</v>
      </c>
      <c r="N407" s="254">
        <f t="shared" si="126"/>
        <v>0</v>
      </c>
      <c r="O407" s="239">
        <f t="shared" si="126"/>
        <v>0</v>
      </c>
      <c r="P407" s="239">
        <f t="shared" si="126"/>
        <v>0</v>
      </c>
      <c r="Q407" s="239">
        <f t="shared" si="126"/>
        <v>0</v>
      </c>
    </row>
    <row r="408" spans="1:17">
      <c r="F408" s="245"/>
      <c r="G408" s="328"/>
      <c r="H408" s="319"/>
      <c r="I408" s="319" t="s">
        <v>531</v>
      </c>
      <c r="J408" s="320"/>
      <c r="K408" s="319"/>
      <c r="L408" s="236">
        <f>SUM(J408:J408)</f>
        <v>0</v>
      </c>
      <c r="M408" s="236" t="e">
        <f>#REF!-#REF!</f>
        <v>#REF!</v>
      </c>
      <c r="N408" s="235"/>
      <c r="O408" s="205"/>
      <c r="P408" s="205"/>
      <c r="Q408" s="205"/>
    </row>
    <row r="409" spans="1:17">
      <c r="F409" s="244" t="s">
        <v>309</v>
      </c>
      <c r="G409" s="328"/>
      <c r="H409" s="319"/>
      <c r="I409" s="319" t="s">
        <v>1</v>
      </c>
      <c r="J409" s="323"/>
      <c r="K409" s="319"/>
      <c r="L409" s="236">
        <f>SUM(J409:J409)</f>
        <v>0</v>
      </c>
      <c r="M409" s="236" t="e">
        <f>#REF!-#REF!</f>
        <v>#REF!</v>
      </c>
      <c r="N409" s="235"/>
      <c r="O409" s="205"/>
      <c r="P409" s="205"/>
      <c r="Q409" s="205"/>
    </row>
    <row r="410" spans="1:17">
      <c r="A410" s="124">
        <v>72000</v>
      </c>
      <c r="B410" s="125">
        <v>357</v>
      </c>
      <c r="C410" s="125">
        <v>12</v>
      </c>
      <c r="D410" s="125">
        <v>11</v>
      </c>
      <c r="E410" s="125">
        <v>41</v>
      </c>
      <c r="F410" s="261" t="s">
        <v>141</v>
      </c>
      <c r="G410" s="328"/>
      <c r="H410" s="319">
        <v>0</v>
      </c>
      <c r="I410" s="319" t="s">
        <v>1</v>
      </c>
      <c r="J410" s="319"/>
      <c r="K410" s="319"/>
      <c r="L410" s="236">
        <f>SUM(J410:J410)</f>
        <v>0</v>
      </c>
      <c r="M410" s="236" t="e">
        <f>#REF!-#REF!</f>
        <v>#REF!</v>
      </c>
      <c r="N410" s="235"/>
      <c r="O410" s="205"/>
      <c r="P410" s="205"/>
      <c r="Q410" s="205"/>
    </row>
    <row r="411" spans="1:17" ht="13.5" thickBot="1">
      <c r="A411" s="124">
        <v>72000</v>
      </c>
      <c r="B411" s="125">
        <v>357</v>
      </c>
      <c r="C411" s="125">
        <v>12</v>
      </c>
      <c r="D411" s="125">
        <v>14</v>
      </c>
      <c r="E411" s="126" t="s">
        <v>208</v>
      </c>
      <c r="F411" s="261" t="s">
        <v>143</v>
      </c>
      <c r="G411" s="328"/>
      <c r="H411" s="332">
        <v>0</v>
      </c>
      <c r="I411" s="319" t="s">
        <v>1</v>
      </c>
      <c r="J411" s="319"/>
      <c r="K411" s="319"/>
      <c r="L411" s="236">
        <f>SUM(J411:J411)</f>
        <v>0</v>
      </c>
      <c r="M411" s="236" t="e">
        <f>#REF!-#REF!</f>
        <v>#REF!</v>
      </c>
      <c r="N411" s="235"/>
      <c r="O411" s="205"/>
      <c r="P411" s="205"/>
      <c r="Q411" s="205"/>
    </row>
    <row r="412" spans="1:17" ht="13.5" thickBot="1">
      <c r="F412" s="499" t="s">
        <v>312</v>
      </c>
      <c r="G412" s="497">
        <f>SUM(G410:G411)</f>
        <v>0</v>
      </c>
      <c r="H412" s="322">
        <f>SUM(H410:H411)</f>
        <v>0</v>
      </c>
      <c r="I412" s="322">
        <f>SUM(I410:I411)</f>
        <v>0</v>
      </c>
      <c r="J412" s="322">
        <f t="shared" ref="J412" si="127">SUM(J410:J411)</f>
        <v>0</v>
      </c>
      <c r="K412" s="322">
        <f t="shared" ref="K412:Q412" si="128">SUM(K410:K411)</f>
        <v>0</v>
      </c>
      <c r="L412" s="239">
        <f t="shared" si="128"/>
        <v>0</v>
      </c>
      <c r="M412" s="239" t="e">
        <f t="shared" si="128"/>
        <v>#REF!</v>
      </c>
      <c r="N412" s="254">
        <f t="shared" si="128"/>
        <v>0</v>
      </c>
      <c r="O412" s="239">
        <f t="shared" si="128"/>
        <v>0</v>
      </c>
      <c r="P412" s="239">
        <f t="shared" si="128"/>
        <v>0</v>
      </c>
      <c r="Q412" s="239">
        <f t="shared" si="128"/>
        <v>0</v>
      </c>
    </row>
    <row r="413" spans="1:17" ht="13.5" thickBot="1">
      <c r="F413" s="245"/>
      <c r="G413" s="319"/>
      <c r="H413" s="319"/>
      <c r="I413" s="319"/>
      <c r="J413" s="319"/>
      <c r="K413" s="319"/>
      <c r="L413" s="236"/>
      <c r="M413" s="236"/>
      <c r="N413" s="235"/>
      <c r="O413" s="205"/>
      <c r="P413" s="205"/>
      <c r="Q413" s="205"/>
    </row>
    <row r="414" spans="1:17" ht="13.5" thickBot="1">
      <c r="F414" s="263" t="s">
        <v>511</v>
      </c>
      <c r="G414" s="322"/>
      <c r="H414" s="322"/>
      <c r="I414" s="319">
        <v>5118926731.1800003</v>
      </c>
      <c r="J414" s="322"/>
      <c r="K414" s="322"/>
      <c r="L414" s="239"/>
      <c r="M414" s="239"/>
      <c r="N414" s="254"/>
      <c r="O414" s="239"/>
      <c r="P414" s="239"/>
      <c r="Q414" s="239"/>
    </row>
    <row r="415" spans="1:17" ht="13.5" thickBot="1">
      <c r="F415" s="245"/>
      <c r="G415" s="319"/>
      <c r="H415" s="319"/>
      <c r="I415" s="319"/>
      <c r="J415" s="319"/>
      <c r="K415" s="319"/>
      <c r="L415" s="236"/>
      <c r="M415" s="236"/>
      <c r="N415" s="235"/>
      <c r="O415" s="205"/>
      <c r="P415" s="205"/>
      <c r="Q415" s="205"/>
    </row>
    <row r="416" spans="1:17" ht="16.5" thickBot="1">
      <c r="F416" s="262" t="s">
        <v>310</v>
      </c>
      <c r="G416" s="322">
        <f t="shared" ref="G416:Q416" si="129">G412+G407+G397+G385+G376+G360+G353+G348+G334+G328+G317+G307+G299+G294+G290+G286+G280+G273+G268+G264+G255+G246+G237+G228+G223+G213+G206+G202+G193+G188+G183+G167+G155+G133+G117+G105+G94+G88+G84+G78+G73+G68+G62+G57+G52+G48</f>
        <v>59600575964.790001</v>
      </c>
      <c r="H416" s="322">
        <f t="shared" si="129"/>
        <v>67290901000</v>
      </c>
      <c r="I416" s="322">
        <f>I414+I412+I407+I397+I385+I376+I360+I353+I348+I334+I328+I317+I307+I299+I294+I290+I286+I280+I273+I268+I264+I255+I246+I237+I228+I223+I213+I206+I202+I193+I188+I183+I167+I155+I133+I117+I105+I94+I88+I84+I78+I73+I68+I62+I57+I52+I48</f>
        <v>59283166688.07</v>
      </c>
      <c r="J416" s="322">
        <f t="shared" si="129"/>
        <v>94185200000.422226</v>
      </c>
      <c r="K416" s="322">
        <f t="shared" si="129"/>
        <v>27032008900.422222</v>
      </c>
      <c r="L416" s="239">
        <f t="shared" si="129"/>
        <v>44885564727.463333</v>
      </c>
      <c r="M416" s="239" t="e">
        <f t="shared" si="129"/>
        <v>#REF!</v>
      </c>
      <c r="N416" s="254">
        <f t="shared" si="129"/>
        <v>0</v>
      </c>
      <c r="O416" s="239">
        <f t="shared" si="129"/>
        <v>11307074202</v>
      </c>
      <c r="P416" s="239">
        <f t="shared" si="129"/>
        <v>13253050609.58</v>
      </c>
      <c r="Q416" s="239">
        <f t="shared" si="129"/>
        <v>11983234677.32</v>
      </c>
    </row>
    <row r="417" spans="1:17" ht="15.75" thickBot="1">
      <c r="F417" s="266"/>
      <c r="G417" s="327"/>
      <c r="H417" s="327"/>
      <c r="I417" s="327"/>
      <c r="J417" s="327"/>
      <c r="K417" s="327"/>
      <c r="L417" s="236"/>
      <c r="M417" s="236"/>
      <c r="N417" s="235"/>
      <c r="O417" s="205"/>
      <c r="P417" s="205"/>
      <c r="Q417" s="205"/>
    </row>
    <row r="418" spans="1:17" ht="16.5" thickBot="1">
      <c r="F418" s="262" t="s">
        <v>433</v>
      </c>
      <c r="G418" s="322">
        <f t="shared" ref="G418:Q418" si="130">G416+G43</f>
        <v>625478884968.79004</v>
      </c>
      <c r="H418" s="322">
        <f t="shared" si="130"/>
        <v>656098126492.56006</v>
      </c>
      <c r="I418" s="322">
        <f t="shared" si="130"/>
        <v>404696353856.6001</v>
      </c>
      <c r="J418" s="322">
        <f t="shared" si="130"/>
        <v>666646488760.12207</v>
      </c>
      <c r="K418" s="322">
        <f t="shared" si="130"/>
        <v>10686072167.562227</v>
      </c>
      <c r="L418" s="239">
        <f t="shared" si="130"/>
        <v>252759415523.23334</v>
      </c>
      <c r="M418" s="239" t="e">
        <f t="shared" si="130"/>
        <v>#REF!</v>
      </c>
      <c r="N418" s="254">
        <f t="shared" si="130"/>
        <v>0</v>
      </c>
      <c r="O418" s="239">
        <f t="shared" si="130"/>
        <v>11307074202</v>
      </c>
      <c r="P418" s="239">
        <f t="shared" si="130"/>
        <v>13253050609.58</v>
      </c>
      <c r="Q418" s="239">
        <f t="shared" si="130"/>
        <v>11983234677.32</v>
      </c>
    </row>
    <row r="419" spans="1:17">
      <c r="F419" s="245"/>
      <c r="G419" s="328"/>
      <c r="H419" s="319"/>
      <c r="I419" s="319" t="s">
        <v>1</v>
      </c>
      <c r="J419" s="320" t="s">
        <v>1</v>
      </c>
      <c r="K419" s="319"/>
      <c r="L419" s="236"/>
      <c r="M419" s="236"/>
      <c r="N419" s="235"/>
      <c r="O419" s="205"/>
      <c r="P419" s="205"/>
      <c r="Q419" s="205"/>
    </row>
    <row r="420" spans="1:17">
      <c r="F420" s="267" t="s">
        <v>313</v>
      </c>
      <c r="G420" s="328"/>
      <c r="H420" s="319"/>
      <c r="I420" s="319"/>
      <c r="J420" s="333"/>
      <c r="K420" s="319"/>
      <c r="L420" s="236"/>
      <c r="M420" s="236"/>
      <c r="N420" s="235"/>
      <c r="O420" s="205"/>
      <c r="P420" s="205"/>
      <c r="Q420" s="205"/>
    </row>
    <row r="421" spans="1:17">
      <c r="F421" s="267" t="s">
        <v>316</v>
      </c>
      <c r="G421" s="328"/>
      <c r="H421" s="319"/>
      <c r="I421" s="319"/>
      <c r="J421" s="333"/>
      <c r="K421" s="319"/>
      <c r="L421" s="236"/>
      <c r="M421" s="236"/>
      <c r="N421" s="235"/>
      <c r="O421" s="205"/>
      <c r="P421" s="205"/>
      <c r="Q421" s="205"/>
    </row>
    <row r="422" spans="1:17" ht="13.5" thickBot="1">
      <c r="A422" s="124">
        <v>19047</v>
      </c>
      <c r="B422" s="126" t="s">
        <v>197</v>
      </c>
      <c r="C422" s="125">
        <v>31</v>
      </c>
      <c r="D422" s="126" t="s">
        <v>209</v>
      </c>
      <c r="E422" s="126" t="s">
        <v>209</v>
      </c>
      <c r="F422" s="245" t="s">
        <v>132</v>
      </c>
      <c r="G422" s="319">
        <v>36322500</v>
      </c>
      <c r="H422" s="319">
        <v>214421773</v>
      </c>
      <c r="I422" s="319"/>
      <c r="J422" s="320"/>
      <c r="K422" s="319">
        <f t="shared" ref="K422" si="131">J422-H422</f>
        <v>-214421773</v>
      </c>
      <c r="L422" s="236"/>
      <c r="M422" s="236"/>
      <c r="N422" s="235"/>
      <c r="O422" s="205"/>
      <c r="P422" s="205"/>
      <c r="Q422" s="205"/>
    </row>
    <row r="423" spans="1:17" ht="13.5" thickBot="1">
      <c r="F423" s="263" t="s">
        <v>320</v>
      </c>
      <c r="G423" s="322">
        <f>SUM(G422)</f>
        <v>36322500</v>
      </c>
      <c r="H423" s="322">
        <f>SUM(H422)</f>
        <v>214421773</v>
      </c>
      <c r="I423" s="322">
        <f>SUM(I422)</f>
        <v>0</v>
      </c>
      <c r="J423" s="322">
        <f>SUM(J422)</f>
        <v>0</v>
      </c>
      <c r="K423" s="322">
        <f t="shared" ref="K423:Q423" si="132">SUM(K422)</f>
        <v>-214421773</v>
      </c>
      <c r="L423" s="239">
        <f t="shared" si="132"/>
        <v>0</v>
      </c>
      <c r="M423" s="239">
        <f t="shared" si="132"/>
        <v>0</v>
      </c>
      <c r="N423" s="254">
        <f t="shared" si="132"/>
        <v>0</v>
      </c>
      <c r="O423" s="239">
        <f t="shared" si="132"/>
        <v>0</v>
      </c>
      <c r="P423" s="239">
        <f t="shared" si="132"/>
        <v>0</v>
      </c>
      <c r="Q423" s="239">
        <f t="shared" si="132"/>
        <v>0</v>
      </c>
    </row>
    <row r="424" spans="1:17">
      <c r="F424" s="245"/>
      <c r="G424" s="328"/>
      <c r="H424" s="319"/>
      <c r="I424" s="319"/>
      <c r="J424" s="319"/>
      <c r="K424" s="319"/>
      <c r="L424" s="236">
        <f>SUM(J424:J424)</f>
        <v>0</v>
      </c>
      <c r="M424" s="236" t="e">
        <f>#REF!-#REF!</f>
        <v>#REF!</v>
      </c>
      <c r="N424" s="235"/>
      <c r="O424" s="205"/>
      <c r="P424" s="205"/>
      <c r="Q424" s="205"/>
    </row>
    <row r="425" spans="1:17">
      <c r="F425" s="244" t="s">
        <v>317</v>
      </c>
      <c r="G425" s="328"/>
      <c r="H425" s="319"/>
      <c r="I425" s="319"/>
      <c r="J425" s="319"/>
      <c r="K425" s="319"/>
      <c r="L425" s="236"/>
      <c r="M425" s="236"/>
      <c r="N425" s="235"/>
      <c r="O425" s="205"/>
      <c r="P425" s="205"/>
      <c r="Q425" s="205"/>
    </row>
    <row r="426" spans="1:17" ht="13.5" thickBot="1">
      <c r="A426" s="124">
        <v>20011</v>
      </c>
      <c r="B426" s="126" t="s">
        <v>197</v>
      </c>
      <c r="C426" s="125">
        <v>13</v>
      </c>
      <c r="D426" s="126" t="s">
        <v>216</v>
      </c>
      <c r="E426" s="125">
        <v>99</v>
      </c>
      <c r="F426" s="245" t="s">
        <v>148</v>
      </c>
      <c r="G426" s="325">
        <v>3083500000</v>
      </c>
      <c r="H426" s="325">
        <v>121578227</v>
      </c>
      <c r="I426" s="319">
        <v>436268433.31999999</v>
      </c>
      <c r="J426" s="319">
        <v>96419057.049999997</v>
      </c>
      <c r="K426" s="319">
        <f t="shared" ref="K426" si="133">J426-H426</f>
        <v>-25159169.950000003</v>
      </c>
      <c r="L426" s="236">
        <f>SUM(L422:L425)</f>
        <v>0</v>
      </c>
      <c r="M426" s="238" t="e">
        <f>SUM(M422:M425)</f>
        <v>#REF!</v>
      </c>
      <c r="N426" s="235"/>
      <c r="O426" s="205"/>
      <c r="P426" s="205"/>
      <c r="Q426" s="205"/>
    </row>
    <row r="427" spans="1:17" ht="13.5" thickBot="1">
      <c r="F427" s="263" t="s">
        <v>321</v>
      </c>
      <c r="G427" s="322">
        <f>SUM(G426)</f>
        <v>3083500000</v>
      </c>
      <c r="H427" s="322">
        <f>SUM(H426)</f>
        <v>121578227</v>
      </c>
      <c r="I427" s="322">
        <f>SUM(I426)</f>
        <v>436268433.31999999</v>
      </c>
      <c r="J427" s="322">
        <f>SUM(J426)</f>
        <v>96419057.049999997</v>
      </c>
      <c r="K427" s="322">
        <f t="shared" ref="K427:Q427" si="134">SUM(K426)</f>
        <v>-25159169.950000003</v>
      </c>
      <c r="L427" s="239">
        <f t="shared" si="134"/>
        <v>0</v>
      </c>
      <c r="M427" s="239" t="e">
        <f t="shared" si="134"/>
        <v>#REF!</v>
      </c>
      <c r="N427" s="254">
        <f t="shared" si="134"/>
        <v>0</v>
      </c>
      <c r="O427" s="239">
        <f t="shared" si="134"/>
        <v>0</v>
      </c>
      <c r="P427" s="239">
        <f t="shared" si="134"/>
        <v>0</v>
      </c>
      <c r="Q427" s="239">
        <f t="shared" si="134"/>
        <v>0</v>
      </c>
    </row>
    <row r="428" spans="1:17">
      <c r="F428" s="245"/>
      <c r="G428" s="328"/>
      <c r="H428" s="319"/>
      <c r="I428" s="319" t="str">
        <f>[1]new!U411</f>
        <v xml:space="preserve"> </v>
      </c>
      <c r="J428" s="320"/>
      <c r="K428" s="319"/>
      <c r="L428" s="236">
        <f>SUM(J428:J428)</f>
        <v>0</v>
      </c>
      <c r="M428" s="236" t="e">
        <f>#REF!-#REF!</f>
        <v>#REF!</v>
      </c>
      <c r="N428" s="235"/>
      <c r="O428" s="205"/>
      <c r="P428" s="205"/>
      <c r="Q428" s="205"/>
    </row>
    <row r="429" spans="1:17">
      <c r="F429" s="244" t="s">
        <v>318</v>
      </c>
      <c r="G429" s="328"/>
      <c r="H429" s="319"/>
      <c r="I429" s="319" t="str">
        <f>[1]new!U412</f>
        <v xml:space="preserve"> </v>
      </c>
      <c r="J429" s="323"/>
      <c r="K429" s="319">
        <f t="shared" ref="K429:K432" si="135">J429-H429</f>
        <v>0</v>
      </c>
      <c r="L429" s="236">
        <f>SUM(J429:J429)</f>
        <v>0</v>
      </c>
      <c r="M429" s="236" t="e">
        <f>#REF!-#REF!</f>
        <v>#REF!</v>
      </c>
      <c r="N429" s="235"/>
      <c r="O429" s="205"/>
      <c r="P429" s="205"/>
      <c r="Q429" s="205"/>
    </row>
    <row r="430" spans="1:17">
      <c r="A430" s="124">
        <v>20000</v>
      </c>
      <c r="B430" s="126" t="s">
        <v>197</v>
      </c>
      <c r="C430" s="125">
        <v>13</v>
      </c>
      <c r="D430" s="126"/>
      <c r="F430" s="245" t="s">
        <v>453</v>
      </c>
      <c r="G430" s="319">
        <v>18552943708</v>
      </c>
      <c r="H430" s="334"/>
      <c r="I430" s="319" t="s">
        <v>1</v>
      </c>
      <c r="J430" s="320"/>
      <c r="K430" s="319"/>
      <c r="L430" s="236"/>
      <c r="M430" s="236"/>
      <c r="N430" s="235"/>
      <c r="O430" s="205"/>
      <c r="P430" s="205"/>
      <c r="Q430" s="205"/>
    </row>
    <row r="431" spans="1:17">
      <c r="A431" s="124">
        <v>20000</v>
      </c>
      <c r="B431" s="126" t="s">
        <v>197</v>
      </c>
      <c r="C431" s="125">
        <v>13</v>
      </c>
      <c r="D431" s="126"/>
      <c r="F431" s="245" t="s">
        <v>551</v>
      </c>
      <c r="G431" s="319"/>
      <c r="H431" s="319">
        <v>8193000000</v>
      </c>
      <c r="I431" s="319">
        <v>3310253046.3499999</v>
      </c>
      <c r="J431" s="320">
        <v>4348700000</v>
      </c>
      <c r="K431" s="319">
        <f>J431-H431</f>
        <v>-3844300000</v>
      </c>
      <c r="L431" s="236"/>
      <c r="M431" s="236"/>
      <c r="N431" s="235"/>
      <c r="O431" s="205"/>
      <c r="P431" s="205"/>
      <c r="Q431" s="205"/>
    </row>
    <row r="432" spans="1:17" ht="13.5" thickBot="1">
      <c r="A432" s="124">
        <v>20000</v>
      </c>
      <c r="B432" s="126" t="s">
        <v>197</v>
      </c>
      <c r="C432" s="125">
        <v>13</v>
      </c>
      <c r="D432" s="126"/>
      <c r="F432" s="245" t="s">
        <v>151</v>
      </c>
      <c r="G432" s="319">
        <v>0</v>
      </c>
      <c r="H432" s="319">
        <f>14000000000+6200000000+3800000000</f>
        <v>24000000000</v>
      </c>
      <c r="I432" s="319" t="s">
        <v>1</v>
      </c>
      <c r="J432" s="320"/>
      <c r="K432" s="319">
        <f t="shared" si="135"/>
        <v>-24000000000</v>
      </c>
      <c r="L432" s="236"/>
      <c r="M432" s="236"/>
      <c r="N432" s="235"/>
      <c r="O432" s="205"/>
      <c r="P432" s="205"/>
      <c r="Q432" s="205"/>
    </row>
    <row r="433" spans="1:17" ht="13.5" thickBot="1">
      <c r="F433" s="263" t="s">
        <v>322</v>
      </c>
      <c r="G433" s="322">
        <f>SUM(G430:G432)</f>
        <v>18552943708</v>
      </c>
      <c r="H433" s="322">
        <f>SUM(H431:H432)</f>
        <v>32193000000</v>
      </c>
      <c r="I433" s="322">
        <f>SUM(I430:I432)</f>
        <v>3310253046.3499999</v>
      </c>
      <c r="J433" s="322">
        <f>SUM(J430:J432)</f>
        <v>4348700000</v>
      </c>
      <c r="K433" s="322">
        <f t="shared" ref="K433:Q433" si="136">SUM(K430:K432)</f>
        <v>-27844300000</v>
      </c>
      <c r="L433" s="239">
        <f t="shared" si="136"/>
        <v>0</v>
      </c>
      <c r="M433" s="239">
        <f t="shared" si="136"/>
        <v>0</v>
      </c>
      <c r="N433" s="254">
        <f t="shared" si="136"/>
        <v>0</v>
      </c>
      <c r="O433" s="239">
        <f t="shared" si="136"/>
        <v>0</v>
      </c>
      <c r="P433" s="239">
        <f t="shared" si="136"/>
        <v>0</v>
      </c>
      <c r="Q433" s="239">
        <f t="shared" si="136"/>
        <v>0</v>
      </c>
    </row>
    <row r="434" spans="1:17" ht="13.5" thickBot="1">
      <c r="F434" s="245"/>
      <c r="G434" s="328"/>
      <c r="H434" s="319"/>
      <c r="I434" s="319" t="s">
        <v>1</v>
      </c>
      <c r="J434" s="319" t="s">
        <v>1</v>
      </c>
      <c r="K434" s="319"/>
      <c r="L434" s="236"/>
      <c r="M434" s="236"/>
      <c r="N434" s="235"/>
      <c r="O434" s="205"/>
      <c r="P434" s="205"/>
      <c r="Q434" s="205"/>
    </row>
    <row r="435" spans="1:17" ht="13.5" thickBot="1">
      <c r="F435" s="263" t="s">
        <v>319</v>
      </c>
      <c r="G435" s="322">
        <f>G433+G427+G423</f>
        <v>21672766208</v>
      </c>
      <c r="H435" s="322">
        <f>H433+H427+H423</f>
        <v>32529000000</v>
      </c>
      <c r="I435" s="322">
        <f>I433+I427+I423</f>
        <v>3746521479.6700001</v>
      </c>
      <c r="J435" s="322">
        <f>J433+J427+J423</f>
        <v>4445119057.0500002</v>
      </c>
      <c r="K435" s="322">
        <f>K433+K427+K423</f>
        <v>-28083880942.950001</v>
      </c>
      <c r="L435" s="239">
        <f t="shared" ref="L435:Q435" si="137">L433+L427+L423</f>
        <v>0</v>
      </c>
      <c r="M435" s="239" t="e">
        <f t="shared" si="137"/>
        <v>#REF!</v>
      </c>
      <c r="N435" s="254">
        <f t="shared" si="137"/>
        <v>0</v>
      </c>
      <c r="O435" s="239">
        <f t="shared" si="137"/>
        <v>0</v>
      </c>
      <c r="P435" s="239">
        <f t="shared" si="137"/>
        <v>0</v>
      </c>
      <c r="Q435" s="239">
        <f t="shared" si="137"/>
        <v>0</v>
      </c>
    </row>
    <row r="436" spans="1:17">
      <c r="F436" s="245"/>
      <c r="G436" s="331"/>
      <c r="H436" s="319"/>
      <c r="I436" s="319" t="s">
        <v>1</v>
      </c>
      <c r="J436" s="320"/>
      <c r="K436" s="319"/>
      <c r="L436" s="236"/>
      <c r="M436" s="236"/>
      <c r="N436" s="235"/>
      <c r="O436" s="205"/>
      <c r="P436" s="205"/>
      <c r="Q436" s="205"/>
    </row>
    <row r="437" spans="1:17">
      <c r="F437" s="244" t="s">
        <v>438</v>
      </c>
      <c r="G437" s="328"/>
      <c r="H437" s="319"/>
      <c r="I437" s="319" t="s">
        <v>1</v>
      </c>
      <c r="J437" s="323"/>
      <c r="K437" s="319"/>
      <c r="L437" s="236"/>
      <c r="M437" s="236"/>
      <c r="N437" s="235"/>
      <c r="O437" s="205"/>
      <c r="P437" s="205"/>
      <c r="Q437" s="205"/>
    </row>
    <row r="438" spans="1:17">
      <c r="F438" s="244" t="s">
        <v>323</v>
      </c>
      <c r="G438" s="328"/>
      <c r="H438" s="319"/>
      <c r="I438" s="319" t="s">
        <v>1</v>
      </c>
      <c r="J438" s="323"/>
      <c r="K438" s="319"/>
      <c r="L438" s="236"/>
      <c r="M438" s="236"/>
      <c r="N438" s="235"/>
      <c r="O438" s="205"/>
      <c r="P438" s="205"/>
      <c r="Q438" s="205"/>
    </row>
    <row r="439" spans="1:17">
      <c r="A439" s="124">
        <v>20000</v>
      </c>
      <c r="B439" s="126" t="s">
        <v>197</v>
      </c>
      <c r="C439" s="125">
        <v>13</v>
      </c>
      <c r="D439" s="126" t="s">
        <v>208</v>
      </c>
      <c r="E439" s="126" t="s">
        <v>209</v>
      </c>
      <c r="F439" s="245" t="s">
        <v>357</v>
      </c>
      <c r="G439" s="319">
        <v>130900000</v>
      </c>
      <c r="H439" s="319">
        <v>135700000</v>
      </c>
      <c r="I439" s="319" t="s">
        <v>1</v>
      </c>
      <c r="J439" s="320">
        <v>148700000</v>
      </c>
      <c r="K439" s="319">
        <f t="shared" ref="K439:K441" si="138">J439-H439</f>
        <v>13000000</v>
      </c>
      <c r="L439" s="236"/>
      <c r="M439" s="236"/>
      <c r="N439" s="235"/>
      <c r="O439" s="205"/>
      <c r="P439" s="205"/>
      <c r="Q439" s="205"/>
    </row>
    <row r="440" spans="1:17">
      <c r="A440" s="124">
        <v>20000</v>
      </c>
      <c r="B440" s="126" t="s">
        <v>197</v>
      </c>
      <c r="C440" s="125">
        <v>13</v>
      </c>
      <c r="D440" s="126" t="s">
        <v>208</v>
      </c>
      <c r="E440" s="126" t="s">
        <v>216</v>
      </c>
      <c r="F440" s="245" t="s">
        <v>155</v>
      </c>
      <c r="G440" s="328">
        <v>0</v>
      </c>
      <c r="H440" s="319"/>
      <c r="I440" s="319" t="s">
        <v>1</v>
      </c>
      <c r="J440" s="320"/>
      <c r="K440" s="319">
        <f t="shared" si="138"/>
        <v>0</v>
      </c>
      <c r="L440" s="236"/>
      <c r="M440" s="236"/>
      <c r="N440" s="235"/>
      <c r="O440" s="205"/>
      <c r="P440" s="205"/>
      <c r="Q440" s="205"/>
    </row>
    <row r="441" spans="1:17" ht="13.5" thickBot="1">
      <c r="A441" s="124">
        <v>20000</v>
      </c>
      <c r="B441" s="126" t="s">
        <v>197</v>
      </c>
      <c r="C441" s="125">
        <v>13</v>
      </c>
      <c r="D441" s="126" t="s">
        <v>208</v>
      </c>
      <c r="E441" s="125">
        <v>99</v>
      </c>
      <c r="F441" s="245" t="s">
        <v>358</v>
      </c>
      <c r="G441" s="328">
        <v>0</v>
      </c>
      <c r="H441" s="319"/>
      <c r="I441" s="319" t="s">
        <v>1</v>
      </c>
      <c r="J441" s="320"/>
      <c r="K441" s="319">
        <f t="shared" si="138"/>
        <v>0</v>
      </c>
      <c r="L441" s="236">
        <f>SUM(J441:J441)</f>
        <v>0</v>
      </c>
      <c r="M441" s="236" t="e">
        <f>#REF!-#REF!</f>
        <v>#REF!</v>
      </c>
      <c r="N441" s="235"/>
      <c r="O441" s="205"/>
      <c r="P441" s="205"/>
      <c r="Q441" s="205"/>
    </row>
    <row r="442" spans="1:17" ht="13.5" thickBot="1">
      <c r="F442" s="263" t="s">
        <v>457</v>
      </c>
      <c r="G442" s="322">
        <f>SUM(G439:G440)</f>
        <v>130900000</v>
      </c>
      <c r="H442" s="322">
        <f>SUM(H439:H441)</f>
        <v>135700000</v>
      </c>
      <c r="I442" s="322">
        <f>SUM(I441)</f>
        <v>0</v>
      </c>
      <c r="J442" s="322">
        <f>SUM(J439:J441)</f>
        <v>148700000</v>
      </c>
      <c r="K442" s="322">
        <f>SUM(K441)</f>
        <v>0</v>
      </c>
      <c r="L442" s="239">
        <f t="shared" ref="L442:Q442" si="139">SUM(L441)</f>
        <v>0</v>
      </c>
      <c r="M442" s="239" t="e">
        <f t="shared" si="139"/>
        <v>#REF!</v>
      </c>
      <c r="N442" s="254">
        <f t="shared" si="139"/>
        <v>0</v>
      </c>
      <c r="O442" s="239">
        <f t="shared" si="139"/>
        <v>0</v>
      </c>
      <c r="P442" s="239">
        <f t="shared" si="139"/>
        <v>0</v>
      </c>
      <c r="Q442" s="239">
        <f t="shared" si="139"/>
        <v>0</v>
      </c>
    </row>
    <row r="443" spans="1:17">
      <c r="F443" s="244"/>
      <c r="G443" s="340"/>
      <c r="H443" s="327"/>
      <c r="I443" s="327" t="s">
        <v>1</v>
      </c>
      <c r="J443" s="323"/>
      <c r="K443" s="327"/>
      <c r="L443" s="236"/>
      <c r="M443" s="236"/>
      <c r="N443" s="236"/>
      <c r="O443" s="205"/>
      <c r="P443" s="205"/>
      <c r="Q443" s="205"/>
    </row>
    <row r="444" spans="1:17">
      <c r="F444" s="244" t="s">
        <v>458</v>
      </c>
      <c r="G444" s="340"/>
      <c r="H444" s="327"/>
      <c r="I444" s="327" t="s">
        <v>1</v>
      </c>
      <c r="J444" s="323"/>
      <c r="K444" s="327"/>
      <c r="L444" s="236"/>
      <c r="M444" s="236"/>
      <c r="N444" s="236"/>
      <c r="O444" s="205"/>
      <c r="P444" s="205"/>
      <c r="Q444" s="205"/>
    </row>
    <row r="445" spans="1:17">
      <c r="F445" s="244" t="s">
        <v>165</v>
      </c>
      <c r="G445" s="319">
        <v>0</v>
      </c>
      <c r="H445" s="319">
        <v>0</v>
      </c>
      <c r="I445" s="327">
        <v>3406627613.04</v>
      </c>
      <c r="J445" s="323">
        <f>(16*176)*1000000</f>
        <v>2816000000</v>
      </c>
      <c r="K445" s="327"/>
      <c r="L445" s="236"/>
      <c r="M445" s="236"/>
      <c r="N445" s="236"/>
      <c r="O445" s="205"/>
      <c r="P445" s="205"/>
      <c r="Q445" s="205"/>
    </row>
    <row r="446" spans="1:17">
      <c r="F446" s="244" t="s">
        <v>459</v>
      </c>
      <c r="G446" s="327">
        <v>0</v>
      </c>
      <c r="H446" s="327">
        <v>2987000000</v>
      </c>
      <c r="I446" s="327">
        <v>2443825413</v>
      </c>
      <c r="J446" s="323">
        <v>2960800000</v>
      </c>
      <c r="K446" s="319">
        <f t="shared" ref="K446:K447" si="140">J446-H446</f>
        <v>-26200000</v>
      </c>
      <c r="L446" s="236"/>
      <c r="M446" s="236"/>
      <c r="N446" s="236"/>
      <c r="O446" s="205"/>
      <c r="P446" s="205"/>
      <c r="Q446" s="205"/>
    </row>
    <row r="447" spans="1:17" ht="13.5" thickBot="1">
      <c r="F447" s="245" t="s">
        <v>452</v>
      </c>
      <c r="G447" s="319">
        <v>5635485000</v>
      </c>
      <c r="H447" s="319">
        <v>1350323510</v>
      </c>
      <c r="I447" s="327" t="s">
        <v>1</v>
      </c>
      <c r="J447" s="320"/>
      <c r="K447" s="319">
        <f t="shared" si="140"/>
        <v>-1350323510</v>
      </c>
      <c r="L447" s="236"/>
      <c r="M447" s="236"/>
      <c r="N447" s="235"/>
      <c r="O447" s="205"/>
      <c r="P447" s="205"/>
      <c r="Q447" s="205"/>
    </row>
    <row r="448" spans="1:17" ht="13.5" thickBot="1">
      <c r="F448" s="263" t="s">
        <v>460</v>
      </c>
      <c r="G448" s="322">
        <f>SUM(G445:G447)</f>
        <v>5635485000</v>
      </c>
      <c r="H448" s="322">
        <f>SUM(H445:H447)</f>
        <v>4337323510</v>
      </c>
      <c r="I448" s="322">
        <f>SUM(I445:I447)</f>
        <v>5850453026.04</v>
      </c>
      <c r="J448" s="322">
        <f>SUM(J445:J447)</f>
        <v>5776800000</v>
      </c>
      <c r="K448" s="322">
        <f>SUM(K445:K447)</f>
        <v>-1376523510</v>
      </c>
      <c r="L448" s="239">
        <f t="shared" ref="L448:Q448" si="141">SUM(L445:L447)</f>
        <v>0</v>
      </c>
      <c r="M448" s="239">
        <f t="shared" si="141"/>
        <v>0</v>
      </c>
      <c r="N448" s="254">
        <f t="shared" si="141"/>
        <v>0</v>
      </c>
      <c r="O448" s="239">
        <f t="shared" si="141"/>
        <v>0</v>
      </c>
      <c r="P448" s="239">
        <f t="shared" si="141"/>
        <v>0</v>
      </c>
      <c r="Q448" s="239">
        <f t="shared" si="141"/>
        <v>0</v>
      </c>
    </row>
    <row r="449" spans="1:17" ht="13.5" thickBot="1">
      <c r="F449" s="245"/>
      <c r="G449" s="328"/>
      <c r="H449" s="319"/>
      <c r="I449" s="319" t="s">
        <v>1</v>
      </c>
      <c r="J449" s="319" t="s">
        <v>1</v>
      </c>
      <c r="K449" s="319"/>
      <c r="L449" s="236"/>
      <c r="M449" s="236"/>
      <c r="N449" s="235"/>
      <c r="O449" s="205"/>
      <c r="P449" s="205"/>
      <c r="Q449" s="205"/>
    </row>
    <row r="450" spans="1:17" ht="13.5" thickBot="1">
      <c r="F450" s="263" t="s">
        <v>461</v>
      </c>
      <c r="G450" s="322">
        <f>G448+G442</f>
        <v>5766385000</v>
      </c>
      <c r="H450" s="322">
        <f>H448+H442</f>
        <v>4473023510</v>
      </c>
      <c r="I450" s="322">
        <f>I448+I442</f>
        <v>5850453026.04</v>
      </c>
      <c r="J450" s="322">
        <f>J448+J442</f>
        <v>5925500000</v>
      </c>
      <c r="K450" s="322">
        <f>K448+K442</f>
        <v>-1376523510</v>
      </c>
      <c r="L450" s="239">
        <f t="shared" ref="L450:Q450" si="142">L448+L442</f>
        <v>0</v>
      </c>
      <c r="M450" s="239" t="e">
        <f t="shared" si="142"/>
        <v>#REF!</v>
      </c>
      <c r="N450" s="254">
        <f t="shared" si="142"/>
        <v>0</v>
      </c>
      <c r="O450" s="239">
        <f t="shared" si="142"/>
        <v>0</v>
      </c>
      <c r="P450" s="239">
        <f t="shared" si="142"/>
        <v>0</v>
      </c>
      <c r="Q450" s="239">
        <f t="shared" si="142"/>
        <v>0</v>
      </c>
    </row>
    <row r="451" spans="1:17">
      <c r="F451" s="245"/>
      <c r="G451" s="328"/>
      <c r="H451" s="319"/>
      <c r="I451" s="319" t="s">
        <v>1</v>
      </c>
      <c r="J451" s="320"/>
      <c r="K451" s="319"/>
      <c r="L451" s="236"/>
      <c r="M451" s="236"/>
      <c r="N451" s="235"/>
      <c r="O451" s="205"/>
      <c r="P451" s="205"/>
      <c r="Q451" s="205"/>
    </row>
    <row r="452" spans="1:17">
      <c r="F452" s="244" t="s">
        <v>158</v>
      </c>
      <c r="G452" s="328"/>
      <c r="H452" s="319"/>
      <c r="I452" s="319" t="s">
        <v>1</v>
      </c>
      <c r="J452" s="323"/>
      <c r="K452" s="319"/>
      <c r="L452" s="236"/>
      <c r="M452" s="236"/>
      <c r="N452" s="235"/>
      <c r="O452" s="205"/>
      <c r="P452" s="205"/>
      <c r="Q452" s="205"/>
    </row>
    <row r="453" spans="1:17">
      <c r="F453" s="245"/>
      <c r="G453" s="328"/>
      <c r="H453" s="319"/>
      <c r="I453" s="319" t="s">
        <v>1</v>
      </c>
      <c r="J453" s="320"/>
      <c r="K453" s="319"/>
      <c r="L453" s="236"/>
      <c r="M453" s="236"/>
      <c r="N453" s="235"/>
      <c r="O453" s="205"/>
      <c r="P453" s="205"/>
      <c r="Q453" s="205"/>
    </row>
    <row r="454" spans="1:17">
      <c r="F454" s="244" t="s">
        <v>159</v>
      </c>
      <c r="G454" s="328"/>
      <c r="H454" s="319"/>
      <c r="I454" s="319" t="s">
        <v>1</v>
      </c>
      <c r="J454" s="323"/>
      <c r="K454" s="319"/>
      <c r="L454" s="236"/>
      <c r="M454" s="236"/>
      <c r="N454" s="235"/>
      <c r="O454" s="205"/>
      <c r="P454" s="205"/>
      <c r="Q454" s="205"/>
    </row>
    <row r="455" spans="1:17" s="409" customFormat="1">
      <c r="A455" s="404"/>
      <c r="B455" s="224"/>
      <c r="C455" s="224"/>
      <c r="D455" s="224"/>
      <c r="E455" s="224"/>
      <c r="F455" s="246" t="s">
        <v>160</v>
      </c>
      <c r="G455" s="452"/>
      <c r="H455" s="405"/>
      <c r="I455" s="405" t="s">
        <v>1</v>
      </c>
      <c r="J455" s="415"/>
      <c r="K455" s="405"/>
      <c r="L455" s="406"/>
      <c r="M455" s="406"/>
      <c r="N455" s="407"/>
      <c r="O455" s="408"/>
      <c r="P455" s="408"/>
      <c r="Q455" s="408"/>
    </row>
    <row r="456" spans="1:17" s="482" customFormat="1">
      <c r="A456" s="474">
        <v>2018</v>
      </c>
      <c r="B456" s="475" t="s">
        <v>197</v>
      </c>
      <c r="C456" s="476">
        <v>51</v>
      </c>
      <c r="D456" s="475" t="s">
        <v>216</v>
      </c>
      <c r="E456" s="475" t="s">
        <v>209</v>
      </c>
      <c r="F456" s="477" t="s">
        <v>161</v>
      </c>
      <c r="G456" s="484">
        <v>0</v>
      </c>
      <c r="H456" s="478">
        <v>4070100000</v>
      </c>
      <c r="I456" s="478">
        <v>2886368189.48</v>
      </c>
      <c r="J456" s="485">
        <f>50*148.68*1000000</f>
        <v>7434000000</v>
      </c>
      <c r="K456" s="478">
        <f t="shared" ref="K456:K468" si="143">J456-H456</f>
        <v>3363900000</v>
      </c>
      <c r="L456" s="479">
        <f>SUM(L441:L442)</f>
        <v>0</v>
      </c>
      <c r="M456" s="479" t="e">
        <f>M441</f>
        <v>#REF!</v>
      </c>
      <c r="N456" s="480"/>
      <c r="O456" s="481"/>
      <c r="P456" s="481"/>
      <c r="Q456" s="481"/>
    </row>
    <row r="457" spans="1:17">
      <c r="A457" s="124">
        <v>2018</v>
      </c>
      <c r="B457" s="126" t="s">
        <v>197</v>
      </c>
      <c r="C457" s="125">
        <v>51</v>
      </c>
      <c r="D457" s="126" t="s">
        <v>216</v>
      </c>
      <c r="E457" s="126" t="s">
        <v>216</v>
      </c>
      <c r="F457" s="245" t="s">
        <v>162</v>
      </c>
      <c r="G457" s="319">
        <v>36944300000</v>
      </c>
      <c r="H457" s="319">
        <v>10175250000</v>
      </c>
      <c r="I457" s="319">
        <v>18036736584.16</v>
      </c>
      <c r="J457" s="320">
        <f>100*148.68*1000000</f>
        <v>14868000000</v>
      </c>
      <c r="K457" s="319">
        <f t="shared" si="143"/>
        <v>4692750000</v>
      </c>
      <c r="L457" s="236"/>
      <c r="M457" s="236"/>
      <c r="N457" s="235"/>
      <c r="O457" s="205"/>
      <c r="P457" s="205"/>
      <c r="Q457" s="205"/>
    </row>
    <row r="458" spans="1:17">
      <c r="A458" s="124">
        <v>2018</v>
      </c>
      <c r="B458" s="126" t="s">
        <v>197</v>
      </c>
      <c r="C458" s="125">
        <v>51</v>
      </c>
      <c r="D458" s="126" t="s">
        <v>216</v>
      </c>
      <c r="E458" s="126" t="s">
        <v>208</v>
      </c>
      <c r="F458" s="245" t="s">
        <v>163</v>
      </c>
      <c r="G458" s="319">
        <v>0</v>
      </c>
      <c r="H458" s="319">
        <v>0</v>
      </c>
      <c r="I458" s="319"/>
      <c r="J458" s="320"/>
      <c r="K458" s="319">
        <f t="shared" si="143"/>
        <v>0</v>
      </c>
      <c r="L458" s="236"/>
      <c r="M458" s="236"/>
      <c r="N458" s="235"/>
      <c r="O458" s="205"/>
      <c r="P458" s="205"/>
      <c r="Q458" s="205"/>
    </row>
    <row r="459" spans="1:17">
      <c r="A459" s="124">
        <v>2018</v>
      </c>
      <c r="B459" s="126" t="s">
        <v>197</v>
      </c>
      <c r="C459" s="125">
        <v>51</v>
      </c>
      <c r="D459" s="126" t="s">
        <v>216</v>
      </c>
      <c r="E459" s="126" t="s">
        <v>222</v>
      </c>
      <c r="F459" s="245" t="s">
        <v>164</v>
      </c>
      <c r="G459" s="319">
        <v>0</v>
      </c>
      <c r="H459" s="319">
        <v>0</v>
      </c>
      <c r="I459" s="319" t="s">
        <v>1</v>
      </c>
      <c r="J459" s="320"/>
      <c r="K459" s="319">
        <f t="shared" si="143"/>
        <v>0</v>
      </c>
      <c r="L459" s="236"/>
      <c r="M459" s="236"/>
      <c r="N459" s="235"/>
      <c r="O459" s="205"/>
      <c r="P459" s="205"/>
      <c r="Q459" s="205"/>
    </row>
    <row r="460" spans="1:17">
      <c r="A460" s="124">
        <v>2018</v>
      </c>
      <c r="B460" s="126" t="s">
        <v>197</v>
      </c>
      <c r="C460" s="125">
        <v>51</v>
      </c>
      <c r="D460" s="126" t="s">
        <v>216</v>
      </c>
      <c r="E460" s="134" t="s">
        <v>232</v>
      </c>
      <c r="F460" s="245" t="s">
        <v>165</v>
      </c>
      <c r="G460" s="319">
        <v>0</v>
      </c>
      <c r="H460" s="319">
        <v>0</v>
      </c>
      <c r="I460" s="319" t="s">
        <v>1</v>
      </c>
      <c r="J460" s="320"/>
      <c r="K460" s="319">
        <f t="shared" si="143"/>
        <v>0</v>
      </c>
      <c r="L460" s="236">
        <f>SUM(J460:J460)</f>
        <v>0</v>
      </c>
      <c r="M460" s="236" t="e">
        <f>#REF!-#REF!</f>
        <v>#REF!</v>
      </c>
      <c r="N460" s="235"/>
      <c r="O460" s="205"/>
      <c r="P460" s="205"/>
      <c r="Q460" s="205"/>
    </row>
    <row r="461" spans="1:17">
      <c r="A461" s="124">
        <v>2018</v>
      </c>
      <c r="B461" s="126" t="s">
        <v>197</v>
      </c>
      <c r="C461" s="125">
        <v>51</v>
      </c>
      <c r="D461" s="126" t="s">
        <v>216</v>
      </c>
      <c r="E461" s="126" t="s">
        <v>210</v>
      </c>
      <c r="F461" s="245" t="s">
        <v>166</v>
      </c>
      <c r="G461" s="319">
        <v>0</v>
      </c>
      <c r="H461" s="319">
        <v>0</v>
      </c>
      <c r="I461" s="319" t="s">
        <v>1</v>
      </c>
      <c r="J461" s="320"/>
      <c r="K461" s="319">
        <f t="shared" si="143"/>
        <v>0</v>
      </c>
      <c r="L461" s="236">
        <f>SUM(J461:J461)</f>
        <v>0</v>
      </c>
      <c r="M461" s="236" t="e">
        <f>#REF!-#REF!</f>
        <v>#REF!</v>
      </c>
      <c r="N461" s="235"/>
      <c r="O461" s="205"/>
      <c r="P461" s="205"/>
      <c r="Q461" s="205"/>
    </row>
    <row r="462" spans="1:17">
      <c r="A462" s="124">
        <v>2018</v>
      </c>
      <c r="B462" s="126" t="s">
        <v>197</v>
      </c>
      <c r="C462" s="125">
        <v>51</v>
      </c>
      <c r="D462" s="126" t="s">
        <v>216</v>
      </c>
      <c r="E462" s="125">
        <v>10</v>
      </c>
      <c r="F462" s="245" t="s">
        <v>167</v>
      </c>
      <c r="G462" s="319">
        <v>0</v>
      </c>
      <c r="H462" s="319">
        <v>0</v>
      </c>
      <c r="I462" s="319">
        <v>12075426.470000001</v>
      </c>
      <c r="J462" s="320"/>
      <c r="K462" s="319">
        <f t="shared" si="143"/>
        <v>0</v>
      </c>
      <c r="L462" s="236"/>
      <c r="M462" s="236"/>
      <c r="N462" s="235"/>
      <c r="O462" s="205"/>
      <c r="P462" s="205"/>
      <c r="Q462" s="205"/>
    </row>
    <row r="463" spans="1:17">
      <c r="A463" s="124">
        <v>2018</v>
      </c>
      <c r="B463" s="126" t="s">
        <v>197</v>
      </c>
      <c r="C463" s="125">
        <v>51</v>
      </c>
      <c r="D463" s="126" t="s">
        <v>216</v>
      </c>
      <c r="E463" s="126" t="s">
        <v>227</v>
      </c>
      <c r="F463" s="245" t="s">
        <v>168</v>
      </c>
      <c r="G463" s="319">
        <v>0</v>
      </c>
      <c r="H463" s="319">
        <v>0</v>
      </c>
      <c r="I463" s="319" t="s">
        <v>1</v>
      </c>
      <c r="J463" s="320"/>
      <c r="K463" s="319">
        <f t="shared" si="143"/>
        <v>0</v>
      </c>
      <c r="L463" s="236">
        <f>SUM(L460:L462)</f>
        <v>0</v>
      </c>
      <c r="M463" s="236" t="e">
        <f>M461+M460</f>
        <v>#REF!</v>
      </c>
      <c r="N463" s="235"/>
      <c r="O463" s="205"/>
      <c r="P463" s="205"/>
      <c r="Q463" s="205"/>
    </row>
    <row r="464" spans="1:17">
      <c r="A464" s="124">
        <v>2018</v>
      </c>
      <c r="B464" s="126" t="s">
        <v>197</v>
      </c>
      <c r="C464" s="125">
        <v>51</v>
      </c>
      <c r="D464" s="126" t="s">
        <v>216</v>
      </c>
      <c r="E464" s="126" t="s">
        <v>204</v>
      </c>
      <c r="F464" s="245" t="s">
        <v>169</v>
      </c>
      <c r="G464" s="319">
        <v>0</v>
      </c>
      <c r="H464" s="319">
        <v>0</v>
      </c>
      <c r="I464" s="319" t="s">
        <v>1</v>
      </c>
      <c r="J464" s="320"/>
      <c r="K464" s="319">
        <f t="shared" si="143"/>
        <v>0</v>
      </c>
      <c r="L464" s="236"/>
      <c r="M464" s="236"/>
      <c r="N464" s="235"/>
      <c r="O464" s="205"/>
      <c r="P464" s="205"/>
      <c r="Q464" s="205"/>
    </row>
    <row r="465" spans="1:18">
      <c r="A465" s="124">
        <v>2018</v>
      </c>
      <c r="B465" s="126" t="s">
        <v>197</v>
      </c>
      <c r="C465" s="125">
        <v>51</v>
      </c>
      <c r="D465" s="126" t="s">
        <v>216</v>
      </c>
      <c r="E465" s="125">
        <v>11</v>
      </c>
      <c r="F465" s="245" t="s">
        <v>170</v>
      </c>
      <c r="G465" s="319">
        <v>0</v>
      </c>
      <c r="H465" s="319">
        <v>0</v>
      </c>
      <c r="I465" s="319" t="s">
        <v>1</v>
      </c>
      <c r="J465" s="320"/>
      <c r="K465" s="319">
        <f t="shared" si="143"/>
        <v>0</v>
      </c>
      <c r="L465" s="236">
        <f>SUM(J465:J465)</f>
        <v>0</v>
      </c>
      <c r="M465" s="236" t="e">
        <f>M463+M462</f>
        <v>#REF!</v>
      </c>
      <c r="N465" s="235"/>
      <c r="O465" s="205"/>
      <c r="P465" s="205"/>
      <c r="Q465" s="205"/>
    </row>
    <row r="466" spans="1:18">
      <c r="A466" s="124">
        <v>2018</v>
      </c>
      <c r="B466" s="126" t="s">
        <v>197</v>
      </c>
      <c r="C466" s="125">
        <v>51</v>
      </c>
      <c r="D466" s="126" t="s">
        <v>216</v>
      </c>
      <c r="E466" s="126" t="s">
        <v>201</v>
      </c>
      <c r="F466" s="245" t="s">
        <v>171</v>
      </c>
      <c r="G466" s="319">
        <v>0</v>
      </c>
      <c r="H466" s="319">
        <v>0</v>
      </c>
      <c r="I466" s="319">
        <v>1199731000</v>
      </c>
      <c r="J466" s="320"/>
      <c r="K466" s="319">
        <f t="shared" si="143"/>
        <v>0</v>
      </c>
      <c r="L466" s="236"/>
      <c r="M466" s="236"/>
      <c r="N466" s="235"/>
      <c r="O466" s="205"/>
      <c r="P466" s="205"/>
      <c r="Q466" s="205"/>
    </row>
    <row r="467" spans="1:18">
      <c r="A467" s="124">
        <v>2018</v>
      </c>
      <c r="B467" s="126" t="s">
        <v>197</v>
      </c>
      <c r="C467" s="125">
        <v>51</v>
      </c>
      <c r="D467" s="126" t="s">
        <v>216</v>
      </c>
      <c r="E467" s="126" t="s">
        <v>209</v>
      </c>
      <c r="F467" s="245" t="s">
        <v>435</v>
      </c>
      <c r="G467" s="319">
        <v>9310000000</v>
      </c>
      <c r="H467" s="319">
        <v>5689410000</v>
      </c>
      <c r="I467" s="319">
        <v>4375487000</v>
      </c>
      <c r="J467" s="320"/>
      <c r="K467" s="319">
        <f t="shared" si="143"/>
        <v>-5689410000</v>
      </c>
      <c r="L467" s="236"/>
      <c r="M467" s="236"/>
      <c r="N467" s="235"/>
      <c r="O467" s="205"/>
      <c r="P467" s="205"/>
      <c r="Q467" s="205"/>
    </row>
    <row r="468" spans="1:18" s="2" customFormat="1" ht="13.5" thickBot="1">
      <c r="A468" s="124">
        <v>2018</v>
      </c>
      <c r="B468" s="126" t="s">
        <v>197</v>
      </c>
      <c r="C468" s="125">
        <v>51</v>
      </c>
      <c r="D468" s="158" t="s">
        <v>208</v>
      </c>
      <c r="E468" s="138">
        <v>99</v>
      </c>
      <c r="F468" s="245" t="s">
        <v>17</v>
      </c>
      <c r="G468" s="319">
        <v>0</v>
      </c>
      <c r="H468" s="319">
        <v>6499170000</v>
      </c>
      <c r="I468" s="319" t="s">
        <v>1</v>
      </c>
      <c r="J468" s="320"/>
      <c r="K468" s="319">
        <f t="shared" si="143"/>
        <v>-6499170000</v>
      </c>
      <c r="L468" s="236"/>
      <c r="M468" s="236"/>
      <c r="N468" s="241"/>
      <c r="O468" s="205"/>
      <c r="P468" s="205"/>
      <c r="Q468" s="205"/>
      <c r="R468" s="1"/>
    </row>
    <row r="469" spans="1:18" s="2" customFormat="1" ht="13.5" thickBot="1">
      <c r="A469" s="124"/>
      <c r="B469" s="126"/>
      <c r="C469" s="138"/>
      <c r="D469" s="138"/>
      <c r="E469" s="138"/>
      <c r="F469" s="263" t="s">
        <v>439</v>
      </c>
      <c r="G469" s="322">
        <f>SUM(G456:G468)</f>
        <v>46254300000</v>
      </c>
      <c r="H469" s="322">
        <f>SUM(H456:H468)</f>
        <v>26433930000</v>
      </c>
      <c r="I469" s="322">
        <f>SUM(I456:I468)</f>
        <v>26510398200.110001</v>
      </c>
      <c r="J469" s="322">
        <f>SUM(J456:J468)</f>
        <v>22302000000</v>
      </c>
      <c r="K469" s="322">
        <f>SUM(K456:K468)</f>
        <v>-4131930000</v>
      </c>
      <c r="L469" s="239">
        <f t="shared" ref="L469:Q469" si="144">SUM(L456:L468)</f>
        <v>0</v>
      </c>
      <c r="M469" s="239" t="e">
        <f t="shared" si="144"/>
        <v>#REF!</v>
      </c>
      <c r="N469" s="254">
        <f t="shared" si="144"/>
        <v>0</v>
      </c>
      <c r="O469" s="239">
        <f t="shared" si="144"/>
        <v>0</v>
      </c>
      <c r="P469" s="239">
        <f t="shared" si="144"/>
        <v>0</v>
      </c>
      <c r="Q469" s="239">
        <f t="shared" si="144"/>
        <v>0</v>
      </c>
      <c r="R469" s="1"/>
    </row>
    <row r="470" spans="1:18" s="2" customFormat="1">
      <c r="A470" s="124"/>
      <c r="B470" s="126"/>
      <c r="C470" s="138"/>
      <c r="D470" s="138"/>
      <c r="E470" s="138"/>
      <c r="F470" s="245"/>
      <c r="G470" s="328"/>
      <c r="H470" s="319"/>
      <c r="I470" s="319" t="s">
        <v>1</v>
      </c>
      <c r="J470" s="320"/>
      <c r="K470" s="319"/>
      <c r="L470" s="236"/>
      <c r="M470" s="236"/>
      <c r="N470" s="241"/>
      <c r="O470" s="205"/>
      <c r="P470" s="205"/>
      <c r="Q470" s="205"/>
      <c r="R470" s="1"/>
    </row>
    <row r="471" spans="1:18" s="2" customFormat="1">
      <c r="A471" s="124"/>
      <c r="B471" s="126"/>
      <c r="C471" s="138"/>
      <c r="D471" s="138"/>
      <c r="E471" s="138"/>
      <c r="F471" s="244" t="s">
        <v>359</v>
      </c>
      <c r="G471" s="328"/>
      <c r="H471" s="319"/>
      <c r="I471" s="319" t="s">
        <v>1</v>
      </c>
      <c r="J471" s="323"/>
      <c r="K471" s="319"/>
      <c r="L471" s="236"/>
      <c r="M471" s="236"/>
      <c r="N471" s="241"/>
      <c r="O471" s="205"/>
      <c r="P471" s="205"/>
      <c r="Q471" s="205"/>
      <c r="R471" s="1"/>
    </row>
    <row r="472" spans="1:18">
      <c r="A472" s="124">
        <v>2018</v>
      </c>
      <c r="B472" s="126" t="s">
        <v>197</v>
      </c>
      <c r="C472" s="125">
        <v>51</v>
      </c>
      <c r="D472" s="126" t="s">
        <v>208</v>
      </c>
      <c r="E472" s="126" t="s">
        <v>209</v>
      </c>
      <c r="F472" s="245" t="s">
        <v>172</v>
      </c>
      <c r="G472" s="319">
        <v>0</v>
      </c>
      <c r="H472" s="319">
        <v>7944570000</v>
      </c>
      <c r="I472" s="319">
        <v>5901583964.54</v>
      </c>
      <c r="J472" s="320"/>
      <c r="K472" s="319">
        <f t="shared" ref="K472" si="145">J472-H472</f>
        <v>-7944570000</v>
      </c>
      <c r="L472" s="236"/>
      <c r="M472" s="236"/>
      <c r="N472" s="235"/>
      <c r="O472" s="205"/>
      <c r="P472" s="205"/>
      <c r="Q472" s="205"/>
    </row>
    <row r="473" spans="1:18">
      <c r="A473" s="124">
        <v>2018</v>
      </c>
      <c r="B473" s="126" t="s">
        <v>197</v>
      </c>
      <c r="C473" s="125">
        <v>51</v>
      </c>
      <c r="D473" s="126" t="s">
        <v>208</v>
      </c>
      <c r="E473" s="126" t="s">
        <v>216</v>
      </c>
      <c r="F473" s="245" t="s">
        <v>173</v>
      </c>
      <c r="G473" s="319">
        <v>0</v>
      </c>
      <c r="H473" s="319">
        <v>0</v>
      </c>
      <c r="I473" s="319" t="s">
        <v>1</v>
      </c>
      <c r="J473" s="320"/>
      <c r="K473" s="319"/>
      <c r="L473" s="236">
        <f>SUM(J473:J473)</f>
        <v>0</v>
      </c>
      <c r="M473" s="236" t="e">
        <f>#REF!-#REF!</f>
        <v>#REF!</v>
      </c>
      <c r="N473" s="235"/>
      <c r="O473" s="205"/>
      <c r="P473" s="205"/>
      <c r="Q473" s="205"/>
    </row>
    <row r="474" spans="1:18">
      <c r="A474" s="124">
        <v>2018</v>
      </c>
      <c r="B474" s="126" t="s">
        <v>197</v>
      </c>
      <c r="C474" s="125">
        <v>51</v>
      </c>
      <c r="D474" s="126" t="s">
        <v>208</v>
      </c>
      <c r="E474" s="125">
        <v>11</v>
      </c>
      <c r="F474" s="245" t="s">
        <v>174</v>
      </c>
      <c r="G474" s="319">
        <v>0</v>
      </c>
      <c r="H474" s="319">
        <v>0</v>
      </c>
      <c r="I474" s="319" t="s">
        <v>1</v>
      </c>
      <c r="J474" s="320"/>
      <c r="K474" s="319"/>
      <c r="L474" s="236"/>
      <c r="M474" s="236"/>
      <c r="N474" s="235"/>
      <c r="O474" s="205"/>
      <c r="P474" s="205"/>
      <c r="Q474" s="205"/>
    </row>
    <row r="475" spans="1:18">
      <c r="A475" s="124">
        <v>2018</v>
      </c>
      <c r="B475" s="126" t="s">
        <v>197</v>
      </c>
      <c r="C475" s="125">
        <v>51</v>
      </c>
      <c r="D475" s="126" t="s">
        <v>208</v>
      </c>
      <c r="E475" s="125">
        <v>10</v>
      </c>
      <c r="F475" s="245" t="s">
        <v>175</v>
      </c>
      <c r="G475" s="319">
        <v>0</v>
      </c>
      <c r="H475" s="319">
        <v>0</v>
      </c>
      <c r="I475" s="319" t="s">
        <v>1</v>
      </c>
      <c r="J475" s="320"/>
      <c r="K475" s="319"/>
      <c r="L475" s="236">
        <f>SUM(L473:L474)</f>
        <v>0</v>
      </c>
      <c r="M475" s="242" t="e">
        <f>+M473</f>
        <v>#REF!</v>
      </c>
      <c r="N475" s="235"/>
      <c r="O475" s="205"/>
      <c r="P475" s="205"/>
      <c r="Q475" s="205"/>
    </row>
    <row r="476" spans="1:18">
      <c r="A476" s="124">
        <v>2018</v>
      </c>
      <c r="B476" s="126" t="s">
        <v>197</v>
      </c>
      <c r="C476" s="125">
        <v>51</v>
      </c>
      <c r="D476" s="126" t="s">
        <v>208</v>
      </c>
      <c r="E476" s="125">
        <v>12</v>
      </c>
      <c r="F476" s="245" t="s">
        <v>176</v>
      </c>
      <c r="G476" s="319">
        <v>0</v>
      </c>
      <c r="H476" s="319">
        <v>0</v>
      </c>
      <c r="I476" s="319" t="s">
        <v>1</v>
      </c>
      <c r="J476" s="320"/>
      <c r="K476" s="319"/>
      <c r="L476" s="236"/>
      <c r="M476" s="236"/>
      <c r="N476" s="235"/>
      <c r="O476" s="205"/>
      <c r="P476" s="205"/>
      <c r="Q476" s="205"/>
    </row>
    <row r="477" spans="1:18">
      <c r="A477" s="124">
        <v>2018</v>
      </c>
      <c r="B477" s="126" t="s">
        <v>197</v>
      </c>
      <c r="C477" s="125">
        <v>51</v>
      </c>
      <c r="D477" s="126" t="s">
        <v>208</v>
      </c>
      <c r="E477" s="125">
        <v>13</v>
      </c>
      <c r="F477" s="245" t="s">
        <v>177</v>
      </c>
      <c r="G477" s="319">
        <v>0</v>
      </c>
      <c r="H477" s="319">
        <v>0</v>
      </c>
      <c r="I477" s="319" t="s">
        <v>1</v>
      </c>
      <c r="J477" s="320"/>
      <c r="K477" s="319"/>
      <c r="L477" s="236"/>
      <c r="M477" s="236"/>
      <c r="N477" s="235"/>
      <c r="O477" s="205"/>
      <c r="P477" s="205"/>
      <c r="Q477" s="205"/>
    </row>
    <row r="478" spans="1:18">
      <c r="A478" s="124">
        <v>2018</v>
      </c>
      <c r="B478" s="126" t="s">
        <v>197</v>
      </c>
      <c r="C478" s="125">
        <v>51</v>
      </c>
      <c r="D478" s="126" t="s">
        <v>208</v>
      </c>
      <c r="E478" s="125">
        <v>99</v>
      </c>
      <c r="F478" s="245" t="s">
        <v>17</v>
      </c>
      <c r="G478" s="319">
        <v>0</v>
      </c>
      <c r="H478" s="319">
        <v>0</v>
      </c>
      <c r="I478" s="319" t="s">
        <v>1</v>
      </c>
      <c r="J478" s="320"/>
      <c r="K478" s="319"/>
      <c r="L478" s="236"/>
      <c r="M478" s="236"/>
      <c r="N478" s="235"/>
      <c r="O478" s="205"/>
      <c r="P478" s="205"/>
      <c r="Q478" s="205"/>
    </row>
    <row r="479" spans="1:18">
      <c r="B479" s="126"/>
      <c r="F479" s="245"/>
      <c r="G479" s="319"/>
      <c r="H479" s="319"/>
      <c r="I479" s="319" t="s">
        <v>1</v>
      </c>
      <c r="J479" s="320"/>
      <c r="K479" s="319"/>
      <c r="L479" s="236"/>
      <c r="M479" s="236"/>
      <c r="N479" s="235"/>
      <c r="O479" s="205"/>
      <c r="P479" s="205"/>
      <c r="Q479" s="205"/>
    </row>
    <row r="480" spans="1:18">
      <c r="B480" s="126"/>
      <c r="F480" s="244" t="s">
        <v>178</v>
      </c>
      <c r="G480" s="319">
        <v>0</v>
      </c>
      <c r="H480" s="319">
        <v>0</v>
      </c>
      <c r="I480" s="319" t="s">
        <v>1</v>
      </c>
      <c r="J480" s="323"/>
      <c r="K480" s="319"/>
      <c r="L480" s="236"/>
      <c r="M480" s="236"/>
      <c r="N480" s="235"/>
      <c r="O480" s="205"/>
      <c r="P480" s="205"/>
      <c r="Q480" s="205"/>
    </row>
    <row r="481" spans="1:17">
      <c r="A481" s="124">
        <v>2018</v>
      </c>
      <c r="B481" s="126" t="s">
        <v>197</v>
      </c>
      <c r="C481" s="125">
        <v>51</v>
      </c>
      <c r="D481" s="125">
        <v>99</v>
      </c>
      <c r="E481" s="126" t="s">
        <v>209</v>
      </c>
      <c r="F481" s="245" t="s">
        <v>179</v>
      </c>
      <c r="G481" s="319">
        <v>0</v>
      </c>
      <c r="H481" s="319">
        <v>0</v>
      </c>
      <c r="I481" s="319" t="s">
        <v>1</v>
      </c>
      <c r="J481" s="320"/>
      <c r="K481" s="319"/>
      <c r="L481" s="236">
        <f>SUM(J481:J481)</f>
        <v>0</v>
      </c>
      <c r="M481" s="236" t="e">
        <f>#REF!-#REF!</f>
        <v>#REF!</v>
      </c>
      <c r="N481" s="235"/>
      <c r="O481" s="205"/>
      <c r="P481" s="205"/>
      <c r="Q481" s="205"/>
    </row>
    <row r="482" spans="1:17" ht="13.5" thickBot="1">
      <c r="A482" s="124">
        <v>2018</v>
      </c>
      <c r="B482" s="126" t="s">
        <v>197</v>
      </c>
      <c r="C482" s="125">
        <v>51</v>
      </c>
      <c r="D482" s="125">
        <v>99</v>
      </c>
      <c r="E482" s="125">
        <v>99</v>
      </c>
      <c r="F482" s="245" t="s">
        <v>17</v>
      </c>
      <c r="G482" s="319">
        <v>0</v>
      </c>
      <c r="H482" s="319">
        <v>0</v>
      </c>
      <c r="I482" s="319" t="s">
        <v>1</v>
      </c>
      <c r="J482" s="320">
        <v>18024100000</v>
      </c>
      <c r="K482" s="319"/>
      <c r="L482" s="236">
        <f>SUM(J482:J482)</f>
        <v>18024100000</v>
      </c>
      <c r="M482" s="236" t="e">
        <f>#REF!-#REF!</f>
        <v>#REF!</v>
      </c>
      <c r="N482" s="235"/>
      <c r="O482" s="205"/>
      <c r="P482" s="205"/>
      <c r="Q482" s="205"/>
    </row>
    <row r="483" spans="1:17" ht="13.5" thickBot="1">
      <c r="F483" s="263" t="s">
        <v>440</v>
      </c>
      <c r="G483" s="322">
        <f>SUM(G472:G482)</f>
        <v>0</v>
      </c>
      <c r="H483" s="322">
        <f>SUM(H472:H482)</f>
        <v>7944570000</v>
      </c>
      <c r="I483" s="322">
        <f>SUM(I472:I482)</f>
        <v>5901583964.54</v>
      </c>
      <c r="J483" s="322">
        <f>SUM(J472:J482)</f>
        <v>18024100000</v>
      </c>
      <c r="K483" s="322">
        <f>SUM(K472:K482)</f>
        <v>-7944570000</v>
      </c>
      <c r="L483" s="239">
        <f t="shared" ref="L483:Q483" si="146">SUM(L472:L482)</f>
        <v>18024100000</v>
      </c>
      <c r="M483" s="239" t="e">
        <f t="shared" si="146"/>
        <v>#REF!</v>
      </c>
      <c r="N483" s="254">
        <f t="shared" si="146"/>
        <v>0</v>
      </c>
      <c r="O483" s="239">
        <f t="shared" si="146"/>
        <v>0</v>
      </c>
      <c r="P483" s="239">
        <f t="shared" si="146"/>
        <v>0</v>
      </c>
      <c r="Q483" s="239">
        <f t="shared" si="146"/>
        <v>0</v>
      </c>
    </row>
    <row r="484" spans="1:17" ht="13.5" thickBot="1">
      <c r="F484" s="245"/>
      <c r="G484" s="328"/>
      <c r="H484" s="319"/>
      <c r="I484" s="319" t="s">
        <v>1</v>
      </c>
      <c r="J484" s="319" t="s">
        <v>1</v>
      </c>
      <c r="K484" s="319"/>
      <c r="L484" s="236">
        <f>SUM(J484:J484)</f>
        <v>0</v>
      </c>
      <c r="M484" s="236" t="e">
        <f>#REF!-#REF!</f>
        <v>#REF!</v>
      </c>
      <c r="N484" s="235"/>
      <c r="O484" s="205"/>
      <c r="P484" s="205"/>
      <c r="Q484" s="205"/>
    </row>
    <row r="485" spans="1:17" ht="13.5" thickBot="1">
      <c r="F485" s="263" t="s">
        <v>455</v>
      </c>
      <c r="G485" s="322">
        <f>SUM(G469+G483)</f>
        <v>46254300000</v>
      </c>
      <c r="H485" s="322">
        <f>SUM(H469+H483)</f>
        <v>34378500000</v>
      </c>
      <c r="I485" s="322">
        <f>SUM(I469+I483)</f>
        <v>32411982164.650002</v>
      </c>
      <c r="J485" s="322">
        <f>SUM(J469+J483)</f>
        <v>40326100000</v>
      </c>
      <c r="K485" s="322">
        <f>SUM(K469+K483)</f>
        <v>-12076500000</v>
      </c>
      <c r="L485" s="239">
        <f t="shared" ref="L485:Q485" si="147">SUM(L469+L483)</f>
        <v>18024100000</v>
      </c>
      <c r="M485" s="239" t="e">
        <f t="shared" si="147"/>
        <v>#REF!</v>
      </c>
      <c r="N485" s="254">
        <f t="shared" si="147"/>
        <v>0</v>
      </c>
      <c r="O485" s="239">
        <f t="shared" si="147"/>
        <v>0</v>
      </c>
      <c r="P485" s="239">
        <f t="shared" si="147"/>
        <v>0</v>
      </c>
      <c r="Q485" s="239">
        <f t="shared" si="147"/>
        <v>0</v>
      </c>
    </row>
    <row r="486" spans="1:17">
      <c r="F486" s="245"/>
      <c r="G486" s="328"/>
      <c r="H486" s="319"/>
      <c r="I486" s="319" t="s">
        <v>1</v>
      </c>
      <c r="J486" s="320"/>
      <c r="K486" s="319"/>
      <c r="L486" s="236"/>
      <c r="M486" s="236"/>
      <c r="N486" s="235"/>
      <c r="O486" s="205"/>
      <c r="P486" s="205"/>
      <c r="Q486" s="205"/>
    </row>
    <row r="487" spans="1:17">
      <c r="F487" s="244" t="s">
        <v>180</v>
      </c>
      <c r="G487" s="328"/>
      <c r="H487" s="319"/>
      <c r="I487" s="319" t="s">
        <v>1</v>
      </c>
      <c r="J487" s="323"/>
      <c r="K487" s="319"/>
      <c r="L487" s="236">
        <f>SUM(J487:J487)</f>
        <v>0</v>
      </c>
      <c r="M487" s="236" t="e">
        <f>#REF!-#REF!</f>
        <v>#REF!</v>
      </c>
      <c r="N487" s="235"/>
      <c r="O487" s="205"/>
      <c r="P487" s="205"/>
      <c r="Q487" s="205"/>
    </row>
    <row r="488" spans="1:17">
      <c r="A488" s="124">
        <v>2018</v>
      </c>
      <c r="B488" s="126" t="s">
        <v>197</v>
      </c>
      <c r="C488" s="125">
        <v>51</v>
      </c>
      <c r="D488" s="126" t="s">
        <v>209</v>
      </c>
      <c r="E488" s="126" t="s">
        <v>209</v>
      </c>
      <c r="F488" s="245" t="s">
        <v>181</v>
      </c>
      <c r="G488" s="328">
        <v>0</v>
      </c>
      <c r="H488" s="319">
        <v>0</v>
      </c>
      <c r="I488" s="319" t="s">
        <v>1</v>
      </c>
      <c r="J488" s="320"/>
      <c r="K488" s="319"/>
      <c r="L488" s="236">
        <f>SUM(J488:J488)</f>
        <v>0</v>
      </c>
      <c r="M488" s="236" t="e">
        <f>#REF!-#REF!</f>
        <v>#REF!</v>
      </c>
      <c r="N488" s="235"/>
      <c r="O488" s="205"/>
      <c r="P488" s="205"/>
      <c r="Q488" s="205"/>
    </row>
    <row r="489" spans="1:17">
      <c r="A489" s="124">
        <v>2018</v>
      </c>
      <c r="B489" s="126" t="s">
        <v>197</v>
      </c>
      <c r="C489" s="125">
        <v>51</v>
      </c>
      <c r="D489" s="126" t="s">
        <v>209</v>
      </c>
      <c r="E489" s="126" t="s">
        <v>216</v>
      </c>
      <c r="F489" s="261" t="s">
        <v>182</v>
      </c>
      <c r="G489" s="319">
        <f>56482100000+188310000</f>
        <v>56670410000</v>
      </c>
      <c r="H489" s="319">
        <f>109224430000</f>
        <v>109224430000</v>
      </c>
      <c r="I489" s="319">
        <f>127229835063.39+11854854937</f>
        <v>139084690000.39001</v>
      </c>
      <c r="J489" s="321">
        <f>67579500000+22400000000</f>
        <v>89979500000</v>
      </c>
      <c r="K489" s="319">
        <f t="shared" ref="K489:K491" si="148">J489-H489</f>
        <v>-19244930000</v>
      </c>
      <c r="L489" s="236">
        <f>SUM(J489:J489)</f>
        <v>89979500000</v>
      </c>
      <c r="M489" s="236" t="e">
        <f>#REF!-#REF!</f>
        <v>#REF!</v>
      </c>
      <c r="N489" s="235"/>
      <c r="O489" s="205"/>
      <c r="P489" s="205"/>
      <c r="Q489" s="205"/>
    </row>
    <row r="490" spans="1:17">
      <c r="A490" s="124">
        <v>2018</v>
      </c>
      <c r="B490" s="126" t="s">
        <v>197</v>
      </c>
      <c r="C490" s="125">
        <v>51</v>
      </c>
      <c r="D490" s="126" t="s">
        <v>209</v>
      </c>
      <c r="E490" s="126" t="s">
        <v>208</v>
      </c>
      <c r="F490" s="245" t="s">
        <v>183</v>
      </c>
      <c r="G490" s="319">
        <v>0</v>
      </c>
      <c r="H490" s="319">
        <v>0</v>
      </c>
      <c r="I490" s="319" t="s">
        <v>1</v>
      </c>
      <c r="J490" s="320"/>
      <c r="K490" s="319">
        <f t="shared" si="148"/>
        <v>0</v>
      </c>
      <c r="L490" s="236">
        <f>SUM(J490:J490)</f>
        <v>0</v>
      </c>
      <c r="M490" s="236" t="e">
        <f>#REF!-#REF!</f>
        <v>#REF!</v>
      </c>
      <c r="N490" s="235"/>
      <c r="O490" s="205"/>
      <c r="P490" s="205"/>
      <c r="Q490" s="205"/>
    </row>
    <row r="491" spans="1:17" ht="13.5" thickBot="1">
      <c r="A491" s="124">
        <v>2018</v>
      </c>
      <c r="B491" s="126" t="s">
        <v>197</v>
      </c>
      <c r="C491" s="125">
        <v>51</v>
      </c>
      <c r="D491" s="125">
        <v>99</v>
      </c>
      <c r="E491" s="125">
        <v>99</v>
      </c>
      <c r="F491" s="245" t="s">
        <v>17</v>
      </c>
      <c r="G491" s="319">
        <v>0</v>
      </c>
      <c r="H491" s="319">
        <v>0</v>
      </c>
      <c r="I491" s="334"/>
      <c r="J491" s="320"/>
      <c r="K491" s="319">
        <f t="shared" si="148"/>
        <v>0</v>
      </c>
      <c r="L491" s="236">
        <f>SUM(J491:J491)</f>
        <v>0</v>
      </c>
      <c r="M491" s="236" t="e">
        <f>#REF!-#REF!</f>
        <v>#REF!</v>
      </c>
      <c r="N491" s="235"/>
      <c r="O491" s="205"/>
      <c r="P491" s="205"/>
      <c r="Q491" s="205"/>
    </row>
    <row r="492" spans="1:17" ht="13.5" thickBot="1">
      <c r="F492" s="263" t="s">
        <v>360</v>
      </c>
      <c r="G492" s="322">
        <f>SUM(G489:G491)</f>
        <v>56670410000</v>
      </c>
      <c r="H492" s="322">
        <f>SUM(H489:H491)</f>
        <v>109224430000</v>
      </c>
      <c r="I492" s="322">
        <f>SUM(I489:I491)</f>
        <v>139084690000.39001</v>
      </c>
      <c r="J492" s="322">
        <f>SUM(J489:J491)</f>
        <v>89979500000</v>
      </c>
      <c r="K492" s="322">
        <f>SUM(K489:K491)</f>
        <v>-19244930000</v>
      </c>
      <c r="L492" s="239">
        <f t="shared" ref="L492:Q492" si="149">SUM(L489:L491)</f>
        <v>89979500000</v>
      </c>
      <c r="M492" s="239" t="e">
        <f t="shared" si="149"/>
        <v>#REF!</v>
      </c>
      <c r="N492" s="254">
        <f t="shared" si="149"/>
        <v>0</v>
      </c>
      <c r="O492" s="239">
        <f t="shared" si="149"/>
        <v>0</v>
      </c>
      <c r="P492" s="239">
        <f t="shared" si="149"/>
        <v>0</v>
      </c>
      <c r="Q492" s="239">
        <f t="shared" si="149"/>
        <v>0</v>
      </c>
    </row>
    <row r="493" spans="1:17" ht="13.5" thickBot="1">
      <c r="F493" s="245"/>
      <c r="G493" s="328"/>
      <c r="H493" s="319"/>
      <c r="I493" s="319" t="s">
        <v>1</v>
      </c>
      <c r="J493" s="319" t="s">
        <v>1</v>
      </c>
      <c r="K493" s="319"/>
      <c r="L493" s="236"/>
      <c r="M493" s="236"/>
      <c r="N493" s="235"/>
      <c r="O493" s="205"/>
      <c r="P493" s="205"/>
      <c r="Q493" s="205"/>
    </row>
    <row r="494" spans="1:17" ht="16.5" thickBot="1">
      <c r="F494" s="262" t="s">
        <v>441</v>
      </c>
      <c r="G494" s="322">
        <f>G492+G485</f>
        <v>102924710000</v>
      </c>
      <c r="H494" s="322">
        <f>H492+H485</f>
        <v>143602930000</v>
      </c>
      <c r="I494" s="322">
        <f>I492+I485</f>
        <v>171496672165.04001</v>
      </c>
      <c r="J494" s="322">
        <f>J492+J485</f>
        <v>130305600000</v>
      </c>
      <c r="K494" s="322">
        <f>K492+K485</f>
        <v>-31321430000</v>
      </c>
      <c r="L494" s="239">
        <f t="shared" ref="L494:Q494" si="150">L492+L485</f>
        <v>108003600000</v>
      </c>
      <c r="M494" s="239" t="e">
        <f t="shared" si="150"/>
        <v>#REF!</v>
      </c>
      <c r="N494" s="254">
        <f t="shared" si="150"/>
        <v>0</v>
      </c>
      <c r="O494" s="239">
        <f t="shared" si="150"/>
        <v>0</v>
      </c>
      <c r="P494" s="239">
        <f t="shared" si="150"/>
        <v>0</v>
      </c>
      <c r="Q494" s="239">
        <f t="shared" si="150"/>
        <v>0</v>
      </c>
    </row>
    <row r="495" spans="1:17">
      <c r="F495" s="268"/>
      <c r="G495" s="328"/>
      <c r="H495" s="319"/>
      <c r="I495" s="319"/>
      <c r="J495" s="335"/>
      <c r="K495" s="319"/>
      <c r="L495" s="236"/>
      <c r="M495" s="236"/>
      <c r="N495" s="235"/>
      <c r="O495" s="205"/>
      <c r="P495" s="205"/>
      <c r="Q495" s="205"/>
    </row>
    <row r="496" spans="1:17">
      <c r="F496" s="245"/>
      <c r="G496" s="336"/>
      <c r="H496" s="336"/>
      <c r="I496" s="337" t="s">
        <v>2</v>
      </c>
      <c r="J496" s="320"/>
      <c r="K496" s="336"/>
      <c r="L496" s="236"/>
      <c r="M496" s="236"/>
      <c r="N496" s="235"/>
      <c r="O496" s="205"/>
      <c r="P496" s="205"/>
      <c r="Q496" s="205"/>
    </row>
    <row r="497" spans="6:17" hidden="1">
      <c r="F497" s="269"/>
      <c r="G497" s="336" t="s">
        <v>2</v>
      </c>
      <c r="H497" s="336" t="s">
        <v>3</v>
      </c>
      <c r="I497" s="337" t="s">
        <v>469</v>
      </c>
      <c r="J497" s="336" t="s">
        <v>3</v>
      </c>
      <c r="K497" s="336" t="s">
        <v>468</v>
      </c>
      <c r="L497" s="236"/>
      <c r="M497" s="236"/>
      <c r="N497" s="235"/>
      <c r="O497" s="205"/>
      <c r="P497" s="205"/>
      <c r="Q497" s="205"/>
    </row>
    <row r="498" spans="6:17" hidden="1">
      <c r="F498" s="265" t="s">
        <v>239</v>
      </c>
      <c r="G498" s="336" t="s">
        <v>469</v>
      </c>
      <c r="H498" s="338" t="s">
        <v>522</v>
      </c>
      <c r="I498" s="339" t="s">
        <v>539</v>
      </c>
      <c r="J498" s="338" t="s">
        <v>532</v>
      </c>
      <c r="K498" s="336" t="s">
        <v>442</v>
      </c>
      <c r="L498" s="236"/>
      <c r="M498" s="236"/>
      <c r="N498" s="235"/>
      <c r="O498" s="205"/>
      <c r="P498" s="205"/>
      <c r="Q498" s="205"/>
    </row>
    <row r="499" spans="6:17" hidden="1">
      <c r="F499" s="261"/>
      <c r="G499" s="339" t="s">
        <v>514</v>
      </c>
      <c r="H499" s="336" t="s">
        <v>437</v>
      </c>
      <c r="I499" s="339" t="s">
        <v>557</v>
      </c>
      <c r="J499" s="336" t="s">
        <v>437</v>
      </c>
      <c r="K499" s="336" t="s">
        <v>443</v>
      </c>
      <c r="L499" s="236"/>
      <c r="M499" s="236"/>
      <c r="N499" s="235"/>
      <c r="O499" s="205"/>
      <c r="P499" s="205"/>
      <c r="Q499" s="205"/>
    </row>
    <row r="500" spans="6:17" hidden="1">
      <c r="F500" s="245"/>
      <c r="G500" s="336" t="s">
        <v>436</v>
      </c>
      <c r="H500" s="336" t="s">
        <v>255</v>
      </c>
      <c r="I500" s="336" t="s">
        <v>432</v>
      </c>
      <c r="J500" s="338" t="s">
        <v>470</v>
      </c>
      <c r="K500" s="336" t="s">
        <v>456</v>
      </c>
      <c r="L500" s="236" t="e">
        <f>SUM(#REF!)</f>
        <v>#REF!</v>
      </c>
      <c r="M500" s="236" t="e">
        <f>#REF!-#REF!</f>
        <v>#REF!</v>
      </c>
      <c r="N500" s="235"/>
      <c r="O500" s="205"/>
      <c r="P500" s="205"/>
      <c r="Q500" s="205"/>
    </row>
    <row r="501" spans="6:17">
      <c r="F501" s="244" t="s">
        <v>9</v>
      </c>
      <c r="G501" s="340"/>
      <c r="H501" s="327"/>
      <c r="I501" s="327" t="s">
        <v>1</v>
      </c>
      <c r="J501" s="323"/>
      <c r="K501" s="327"/>
      <c r="L501" s="236"/>
      <c r="M501" s="236"/>
      <c r="N501" s="235"/>
      <c r="O501" s="205"/>
      <c r="P501" s="205"/>
      <c r="Q501" s="205"/>
    </row>
    <row r="502" spans="6:17">
      <c r="F502" s="261" t="s">
        <v>445</v>
      </c>
      <c r="G502" s="319">
        <f>G43</f>
        <v>565878309004</v>
      </c>
      <c r="H502" s="319">
        <f>H43</f>
        <v>588807225492.56006</v>
      </c>
      <c r="I502" s="319">
        <f>I43</f>
        <v>345413187168.53009</v>
      </c>
      <c r="J502" s="319">
        <f>J43</f>
        <v>572461288759.69983</v>
      </c>
      <c r="K502" s="319">
        <f>G502-H502</f>
        <v>-22928916488.560059</v>
      </c>
      <c r="L502" s="236" t="e">
        <f>SUM(L500:L501)</f>
        <v>#REF!</v>
      </c>
      <c r="M502" s="236" t="e">
        <f>SUM(M500:M501)</f>
        <v>#REF!</v>
      </c>
      <c r="N502" s="235"/>
      <c r="O502" s="205"/>
      <c r="P502" s="205"/>
      <c r="Q502" s="205"/>
    </row>
    <row r="503" spans="6:17">
      <c r="F503" s="245" t="s">
        <v>446</v>
      </c>
      <c r="G503" s="319">
        <f>G416</f>
        <v>59600575964.790001</v>
      </c>
      <c r="H503" s="319">
        <f>H416</f>
        <v>67290901000</v>
      </c>
      <c r="I503" s="319">
        <f>I416</f>
        <v>59283166688.07</v>
      </c>
      <c r="J503" s="319">
        <f>J416</f>
        <v>94185200000.422226</v>
      </c>
      <c r="K503" s="319">
        <f>G503-H503</f>
        <v>-7690325035.2099991</v>
      </c>
      <c r="L503" s="236"/>
      <c r="M503" s="236"/>
      <c r="N503" s="235"/>
      <c r="O503" s="205"/>
      <c r="P503" s="205"/>
      <c r="Q503" s="205"/>
    </row>
    <row r="504" spans="6:17">
      <c r="F504" s="270" t="s">
        <v>313</v>
      </c>
      <c r="G504" s="319">
        <f>G435</f>
        <v>21672766208</v>
      </c>
      <c r="H504" s="319">
        <f>H435</f>
        <v>32529000000</v>
      </c>
      <c r="I504" s="319">
        <f>I435</f>
        <v>3746521479.6700001</v>
      </c>
      <c r="J504" s="319">
        <f>J435</f>
        <v>4445119057.0500002</v>
      </c>
      <c r="K504" s="319">
        <f>G504-H504</f>
        <v>-10856233792</v>
      </c>
      <c r="L504" s="236"/>
      <c r="M504" s="236"/>
      <c r="N504" s="235"/>
      <c r="O504" s="205"/>
      <c r="P504" s="205"/>
      <c r="Q504" s="205"/>
    </row>
    <row r="505" spans="6:17">
      <c r="F505" s="270" t="s">
        <v>438</v>
      </c>
      <c r="G505" s="327"/>
      <c r="H505" s="327"/>
      <c r="I505" s="327"/>
      <c r="J505" s="327"/>
      <c r="K505" s="319"/>
      <c r="L505" s="236"/>
      <c r="M505" s="236"/>
      <c r="N505" s="235"/>
      <c r="O505" s="205"/>
      <c r="P505" s="205"/>
      <c r="Q505" s="205"/>
    </row>
    <row r="506" spans="6:17">
      <c r="F506" s="245" t="s">
        <v>447</v>
      </c>
      <c r="G506" s="319">
        <f>G442</f>
        <v>130900000</v>
      </c>
      <c r="H506" s="319">
        <f>H442</f>
        <v>135700000</v>
      </c>
      <c r="I506" s="319">
        <f>I442</f>
        <v>0</v>
      </c>
      <c r="J506" s="319">
        <f>J442</f>
        <v>148700000</v>
      </c>
      <c r="K506" s="319">
        <f>G506-H506</f>
        <v>-4800000</v>
      </c>
      <c r="L506" s="236">
        <f t="shared" ref="L506:L513" si="151">SUM(J506:J506)</f>
        <v>148700000</v>
      </c>
      <c r="M506" s="236" t="e">
        <f>#REF!-#REF!</f>
        <v>#REF!</v>
      </c>
      <c r="N506" s="235"/>
      <c r="O506" s="205"/>
      <c r="P506" s="205"/>
      <c r="Q506" s="205"/>
    </row>
    <row r="507" spans="6:17">
      <c r="F507" s="245" t="s">
        <v>448</v>
      </c>
      <c r="G507" s="319">
        <f>G448</f>
        <v>5635485000</v>
      </c>
      <c r="H507" s="319">
        <f>H448</f>
        <v>4337323510</v>
      </c>
      <c r="I507" s="319">
        <f>I448</f>
        <v>5850453026.04</v>
      </c>
      <c r="J507" s="319">
        <f>J448</f>
        <v>5776800000</v>
      </c>
      <c r="K507" s="319">
        <f>G507-H507</f>
        <v>1298161490</v>
      </c>
      <c r="L507" s="236">
        <f t="shared" si="151"/>
        <v>5776800000</v>
      </c>
      <c r="M507" s="236" t="e">
        <f>#REF!-#REF!</f>
        <v>#REF!</v>
      </c>
      <c r="N507" s="235"/>
      <c r="O507" s="205"/>
      <c r="P507" s="205"/>
      <c r="Q507" s="205"/>
    </row>
    <row r="508" spans="6:17">
      <c r="F508" s="244" t="s">
        <v>444</v>
      </c>
      <c r="G508" s="327"/>
      <c r="H508" s="327"/>
      <c r="I508" s="327"/>
      <c r="J508" s="327"/>
      <c r="K508" s="319">
        <f>G508-H508</f>
        <v>0</v>
      </c>
      <c r="L508" s="236">
        <f t="shared" si="151"/>
        <v>0</v>
      </c>
      <c r="M508" s="236" t="e">
        <f>#REF!-#REF!</f>
        <v>#REF!</v>
      </c>
      <c r="N508" s="235"/>
      <c r="O508" s="205"/>
      <c r="P508" s="205"/>
      <c r="Q508" s="205"/>
    </row>
    <row r="509" spans="6:17">
      <c r="F509" s="245" t="s">
        <v>449</v>
      </c>
      <c r="G509" s="319">
        <f>G485</f>
        <v>46254300000</v>
      </c>
      <c r="H509" s="319">
        <f>H485</f>
        <v>34378500000</v>
      </c>
      <c r="I509" s="319">
        <f>I485</f>
        <v>32411982164.650002</v>
      </c>
      <c r="J509" s="319">
        <f>J485</f>
        <v>40326100000</v>
      </c>
      <c r="K509" s="319">
        <f>G509-H509</f>
        <v>11875800000</v>
      </c>
      <c r="L509" s="236">
        <f t="shared" si="151"/>
        <v>40326100000</v>
      </c>
      <c r="M509" s="236" t="e">
        <f>#REF!-#REF!</f>
        <v>#REF!</v>
      </c>
      <c r="N509" s="235"/>
      <c r="O509" s="205"/>
      <c r="P509" s="205"/>
      <c r="Q509" s="205"/>
    </row>
    <row r="510" spans="6:17" ht="13.5" thickBot="1">
      <c r="F510" s="271" t="s">
        <v>450</v>
      </c>
      <c r="G510" s="319">
        <f>G492</f>
        <v>56670410000</v>
      </c>
      <c r="H510" s="319">
        <f>H492</f>
        <v>109224430000</v>
      </c>
      <c r="I510" s="319">
        <f>I492</f>
        <v>139084690000.39001</v>
      </c>
      <c r="J510" s="319">
        <f>J492</f>
        <v>89979500000</v>
      </c>
      <c r="K510" s="319">
        <f>G510-H510</f>
        <v>-52554020000</v>
      </c>
      <c r="L510" s="236">
        <f t="shared" si="151"/>
        <v>89979500000</v>
      </c>
      <c r="M510" s="236" t="e">
        <f>#REF!-#REF!</f>
        <v>#REF!</v>
      </c>
      <c r="N510" s="235"/>
      <c r="O510" s="205"/>
      <c r="P510" s="205"/>
      <c r="Q510" s="205"/>
    </row>
    <row r="511" spans="6:17">
      <c r="F511" s="491"/>
      <c r="G511" s="489">
        <f>SUM(G502:G510)</f>
        <v>755842746176.79004</v>
      </c>
      <c r="H511" s="490">
        <f>SUM(H502:H510)</f>
        <v>836703080002.56006</v>
      </c>
      <c r="I511" s="490">
        <f>SUM(I502:I510)</f>
        <v>585790000527.3501</v>
      </c>
      <c r="J511" s="490">
        <f>SUM(J502:J510)</f>
        <v>807322707817.17212</v>
      </c>
      <c r="K511" s="490">
        <f>SUM(K502:K510)</f>
        <v>-80860333825.77005</v>
      </c>
      <c r="L511" s="257" t="e">
        <f t="shared" ref="L511:Q511" si="152">SUM(L502:L510)</f>
        <v>#REF!</v>
      </c>
      <c r="M511" s="257" t="e">
        <f t="shared" si="152"/>
        <v>#REF!</v>
      </c>
      <c r="N511" s="272">
        <f t="shared" si="152"/>
        <v>0</v>
      </c>
      <c r="O511" s="257">
        <f t="shared" si="152"/>
        <v>0</v>
      </c>
      <c r="P511" s="257">
        <f t="shared" si="152"/>
        <v>0</v>
      </c>
      <c r="Q511" s="257">
        <f t="shared" si="152"/>
        <v>0</v>
      </c>
    </row>
    <row r="512" spans="6:17">
      <c r="G512" s="315"/>
      <c r="H512" s="181"/>
      <c r="I512" s="181"/>
      <c r="J512" s="181" t="s">
        <v>1</v>
      </c>
      <c r="K512" s="181"/>
      <c r="L512" s="3">
        <f t="shared" si="151"/>
        <v>0</v>
      </c>
      <c r="M512" s="4" t="e">
        <f>#REF!-#REF!</f>
        <v>#REF!</v>
      </c>
      <c r="O512" s="5"/>
      <c r="Q512" s="5"/>
    </row>
    <row r="513" spans="7:17">
      <c r="G513" s="315"/>
      <c r="H513" s="181"/>
      <c r="I513" s="181"/>
      <c r="J513" s="181"/>
      <c r="K513" s="181"/>
      <c r="L513" s="3">
        <f t="shared" si="151"/>
        <v>0</v>
      </c>
      <c r="M513" s="4" t="e">
        <f>#REF!-#REF!</f>
        <v>#REF!</v>
      </c>
      <c r="O513" s="5"/>
      <c r="Q513" s="5"/>
    </row>
    <row r="514" spans="7:17">
      <c r="G514" s="178">
        <f>G511-'STATEMENT 1'!D68</f>
        <v>0</v>
      </c>
      <c r="L514" s="3"/>
      <c r="M514" s="3"/>
      <c r="O514" s="5"/>
      <c r="Q514" s="5"/>
    </row>
    <row r="515" spans="7:17">
      <c r="G515" s="178" t="s">
        <v>1</v>
      </c>
      <c r="L515" s="3"/>
      <c r="M515" s="3"/>
      <c r="O515" s="5"/>
      <c r="Q515" s="5"/>
    </row>
    <row r="516" spans="7:17">
      <c r="G516" s="178" t="s">
        <v>189</v>
      </c>
      <c r="L516" s="3"/>
      <c r="M516" s="3"/>
      <c r="O516" s="5"/>
      <c r="Q516" s="5"/>
    </row>
    <row r="517" spans="7:17">
      <c r="G517" s="178"/>
      <c r="L517" s="3"/>
      <c r="M517" s="3"/>
      <c r="O517" s="5"/>
      <c r="Q517" s="5"/>
    </row>
    <row r="518" spans="7:17">
      <c r="G518" s="178"/>
      <c r="L518" s="3"/>
      <c r="M518" s="3"/>
      <c r="O518" s="5"/>
      <c r="Q518" s="5"/>
    </row>
    <row r="519" spans="7:17">
      <c r="G519" s="316" t="s">
        <v>190</v>
      </c>
      <c r="L519" s="3"/>
      <c r="M519" s="3"/>
      <c r="O519" s="5"/>
      <c r="Q519" s="5"/>
    </row>
    <row r="520" spans="7:17">
      <c r="G520" s="178"/>
      <c r="L520" s="3"/>
      <c r="M520" s="3"/>
      <c r="O520" s="5"/>
      <c r="Q520" s="5"/>
    </row>
    <row r="521" spans="7:17">
      <c r="G521" s="178"/>
      <c r="L521" s="3"/>
      <c r="M521" s="3"/>
      <c r="O521" s="5"/>
      <c r="Q521" s="5"/>
    </row>
    <row r="522" spans="7:17">
      <c r="O522" s="5"/>
      <c r="Q522" s="5"/>
    </row>
    <row r="523" spans="7:17">
      <c r="O523" s="5"/>
      <c r="Q523" s="5"/>
    </row>
    <row r="524" spans="7:17">
      <c r="G524" s="10"/>
      <c r="L524" s="1"/>
      <c r="M524" s="1"/>
      <c r="O524" s="5"/>
      <c r="Q524" s="5"/>
    </row>
    <row r="525" spans="7:17">
      <c r="G525" s="10"/>
      <c r="L525" s="1"/>
      <c r="M525" s="1"/>
      <c r="O525" s="5"/>
      <c r="Q525" s="5"/>
    </row>
    <row r="526" spans="7:17">
      <c r="G526" s="10"/>
      <c r="L526" s="1"/>
      <c r="M526" s="1"/>
      <c r="O526" s="5"/>
      <c r="Q526" s="5"/>
    </row>
    <row r="527" spans="7:17">
      <c r="G527" s="10"/>
      <c r="L527" s="1"/>
      <c r="M527" s="1"/>
      <c r="O527" s="5"/>
      <c r="Q527" s="5"/>
    </row>
    <row r="528" spans="7:17">
      <c r="G528" s="10"/>
      <c r="L528" s="1"/>
      <c r="M528" s="1"/>
      <c r="O528" s="5"/>
      <c r="Q528" s="5"/>
    </row>
    <row r="529" spans="7:17">
      <c r="G529" s="10"/>
      <c r="L529" s="1"/>
      <c r="M529" s="1"/>
      <c r="O529" s="5"/>
      <c r="Q529" s="5"/>
    </row>
    <row r="530" spans="7:17">
      <c r="G530" s="10"/>
      <c r="L530" s="1"/>
      <c r="M530" s="1"/>
      <c r="O530" s="5"/>
      <c r="Q530" s="5"/>
    </row>
    <row r="531" spans="7:17">
      <c r="G531" s="10"/>
      <c r="L531" s="1"/>
      <c r="M531" s="1"/>
      <c r="O531" s="5"/>
      <c r="Q531" s="5"/>
    </row>
    <row r="532" spans="7:17">
      <c r="G532" s="10"/>
      <c r="L532" s="1"/>
      <c r="M532" s="1"/>
      <c r="O532" s="5"/>
      <c r="Q532" s="5"/>
    </row>
    <row r="533" spans="7:17">
      <c r="G533" s="10"/>
      <c r="L533" s="1"/>
      <c r="M533" s="1"/>
      <c r="O533" s="5"/>
      <c r="Q533" s="5"/>
    </row>
    <row r="534" spans="7:17">
      <c r="G534" s="10"/>
      <c r="L534" s="1"/>
      <c r="M534" s="1"/>
      <c r="O534" s="5"/>
      <c r="Q534" s="5"/>
    </row>
    <row r="535" spans="7:17">
      <c r="G535" s="10"/>
      <c r="L535" s="1"/>
      <c r="M535" s="1"/>
      <c r="O535" s="5"/>
      <c r="Q535" s="5"/>
    </row>
    <row r="536" spans="7:17">
      <c r="G536" s="10"/>
      <c r="L536" s="1"/>
      <c r="M536" s="1"/>
      <c r="O536" s="5"/>
      <c r="Q536" s="5"/>
    </row>
    <row r="537" spans="7:17">
      <c r="G537" s="10"/>
      <c r="L537" s="1"/>
      <c r="M537" s="1"/>
      <c r="O537" s="5"/>
      <c r="Q537" s="5"/>
    </row>
    <row r="538" spans="7:17">
      <c r="G538" s="10"/>
      <c r="L538" s="1"/>
      <c r="M538" s="1"/>
      <c r="O538" s="5"/>
      <c r="Q538" s="5"/>
    </row>
    <row r="539" spans="7:17">
      <c r="G539" s="10"/>
      <c r="L539" s="1"/>
      <c r="M539" s="1"/>
      <c r="O539" s="5"/>
      <c r="Q539" s="5"/>
    </row>
    <row r="540" spans="7:17">
      <c r="G540" s="10"/>
      <c r="L540" s="1"/>
      <c r="M540" s="1"/>
      <c r="O540" s="5"/>
      <c r="Q540" s="5"/>
    </row>
    <row r="541" spans="7:17">
      <c r="G541" s="10"/>
      <c r="L541" s="1"/>
      <c r="M541" s="1"/>
      <c r="O541" s="5"/>
      <c r="Q541" s="5"/>
    </row>
    <row r="542" spans="7:17">
      <c r="G542" s="10"/>
      <c r="L542" s="1"/>
      <c r="M542" s="1"/>
      <c r="O542" s="5"/>
      <c r="Q542" s="5"/>
    </row>
    <row r="543" spans="7:17">
      <c r="G543" s="10"/>
      <c r="L543" s="1"/>
      <c r="M543" s="1"/>
      <c r="O543" s="5"/>
      <c r="Q543" s="5"/>
    </row>
    <row r="544" spans="7:17">
      <c r="G544" s="10"/>
      <c r="L544" s="1"/>
      <c r="M544" s="1"/>
      <c r="O544" s="5"/>
      <c r="Q544" s="5"/>
    </row>
    <row r="545" spans="7:17">
      <c r="G545" s="10"/>
      <c r="L545" s="1"/>
      <c r="M545" s="1"/>
      <c r="O545" s="5"/>
      <c r="Q545" s="5"/>
    </row>
    <row r="546" spans="7:17">
      <c r="G546" s="10"/>
      <c r="L546" s="1"/>
      <c r="M546" s="1"/>
      <c r="O546" s="5"/>
      <c r="Q546" s="5"/>
    </row>
    <row r="547" spans="7:17">
      <c r="G547" s="10"/>
      <c r="L547" s="1"/>
      <c r="M547" s="1"/>
      <c r="O547" s="5"/>
      <c r="Q547" s="5"/>
    </row>
    <row r="548" spans="7:17">
      <c r="G548" s="10"/>
      <c r="L548" s="1"/>
      <c r="M548" s="1"/>
      <c r="O548" s="5"/>
      <c r="Q548" s="5"/>
    </row>
    <row r="549" spans="7:17">
      <c r="G549" s="10"/>
      <c r="L549" s="1"/>
      <c r="M549" s="1"/>
      <c r="O549" s="5"/>
      <c r="Q549" s="5"/>
    </row>
    <row r="550" spans="7:17">
      <c r="G550" s="10"/>
      <c r="L550" s="1"/>
      <c r="M550" s="1"/>
      <c r="O550" s="5"/>
      <c r="Q550" s="5"/>
    </row>
    <row r="551" spans="7:17">
      <c r="G551" s="10"/>
      <c r="L551" s="1"/>
      <c r="M551" s="1"/>
      <c r="O551" s="5"/>
      <c r="Q551" s="5"/>
    </row>
    <row r="552" spans="7:17">
      <c r="G552" s="10"/>
      <c r="L552" s="1"/>
      <c r="M552" s="1"/>
      <c r="O552" s="5"/>
      <c r="Q552" s="5"/>
    </row>
    <row r="553" spans="7:17">
      <c r="G553" s="10"/>
      <c r="L553" s="1"/>
      <c r="M553" s="1"/>
      <c r="O553" s="5"/>
      <c r="Q553" s="5"/>
    </row>
    <row r="554" spans="7:17">
      <c r="G554" s="10"/>
      <c r="L554" s="1"/>
      <c r="M554" s="1"/>
      <c r="O554" s="5"/>
      <c r="Q554" s="5"/>
    </row>
    <row r="555" spans="7:17">
      <c r="G555" s="10"/>
      <c r="L555" s="1"/>
      <c r="M555" s="1"/>
      <c r="O555" s="5"/>
      <c r="Q555" s="5"/>
    </row>
    <row r="556" spans="7:17">
      <c r="G556" s="10"/>
      <c r="L556" s="1"/>
      <c r="M556" s="1"/>
      <c r="O556" s="5"/>
      <c r="Q556" s="5"/>
    </row>
    <row r="557" spans="7:17">
      <c r="G557" s="10"/>
      <c r="L557" s="1"/>
      <c r="M557" s="1"/>
      <c r="O557" s="5"/>
      <c r="Q557" s="5"/>
    </row>
    <row r="558" spans="7:17">
      <c r="G558" s="10"/>
      <c r="L558" s="1"/>
      <c r="M558" s="1"/>
      <c r="O558" s="5"/>
      <c r="Q558" s="5"/>
    </row>
    <row r="559" spans="7:17">
      <c r="G559" s="10"/>
      <c r="L559" s="1"/>
      <c r="M559" s="1"/>
      <c r="O559" s="5"/>
      <c r="Q559" s="5"/>
    </row>
    <row r="560" spans="7:17">
      <c r="G560" s="10"/>
      <c r="L560" s="1"/>
      <c r="M560" s="1"/>
      <c r="O560" s="5"/>
      <c r="Q560" s="5"/>
    </row>
    <row r="561" spans="7:17">
      <c r="G561" s="10"/>
      <c r="L561" s="1"/>
      <c r="M561" s="1"/>
      <c r="O561" s="5"/>
      <c r="Q561" s="5"/>
    </row>
    <row r="562" spans="7:17">
      <c r="G562" s="10"/>
      <c r="L562" s="1"/>
      <c r="M562" s="1"/>
      <c r="O562" s="5"/>
      <c r="Q562" s="5"/>
    </row>
    <row r="563" spans="7:17">
      <c r="G563" s="10"/>
      <c r="L563" s="1"/>
      <c r="M563" s="1"/>
      <c r="O563" s="5"/>
      <c r="Q563" s="5"/>
    </row>
    <row r="564" spans="7:17">
      <c r="G564" s="10"/>
      <c r="L564" s="1"/>
      <c r="M564" s="1"/>
      <c r="O564" s="5"/>
      <c r="Q564" s="5"/>
    </row>
    <row r="565" spans="7:17">
      <c r="G565" s="10"/>
      <c r="L565" s="1"/>
      <c r="M565" s="1"/>
      <c r="O565" s="5"/>
      <c r="Q565" s="5"/>
    </row>
    <row r="566" spans="7:17">
      <c r="G566" s="10"/>
      <c r="L566" s="1"/>
      <c r="M566" s="1"/>
      <c r="O566" s="5"/>
      <c r="Q566" s="5"/>
    </row>
    <row r="567" spans="7:17">
      <c r="G567" s="10"/>
      <c r="L567" s="1"/>
      <c r="M567" s="1"/>
      <c r="O567" s="5"/>
      <c r="Q567" s="5"/>
    </row>
    <row r="568" spans="7:17">
      <c r="G568" s="10"/>
      <c r="L568" s="1"/>
      <c r="M568" s="1"/>
      <c r="O568" s="5"/>
      <c r="Q568" s="5"/>
    </row>
    <row r="569" spans="7:17">
      <c r="G569" s="10"/>
      <c r="L569" s="1"/>
      <c r="M569" s="1"/>
      <c r="O569" s="5"/>
      <c r="Q569" s="5"/>
    </row>
    <row r="570" spans="7:17">
      <c r="G570" s="10"/>
      <c r="L570" s="1"/>
      <c r="M570" s="1"/>
      <c r="O570" s="5"/>
      <c r="Q570" s="5"/>
    </row>
    <row r="571" spans="7:17">
      <c r="G571" s="10"/>
      <c r="L571" s="1"/>
      <c r="M571" s="1"/>
      <c r="O571" s="5"/>
      <c r="Q571" s="5"/>
    </row>
    <row r="572" spans="7:17">
      <c r="G572" s="10"/>
      <c r="L572" s="1"/>
      <c r="M572" s="1"/>
      <c r="O572" s="5"/>
      <c r="Q572" s="5"/>
    </row>
    <row r="573" spans="7:17">
      <c r="G573" s="10"/>
      <c r="L573" s="1"/>
      <c r="M573" s="1"/>
      <c r="O573" s="5"/>
      <c r="Q573" s="5"/>
    </row>
    <row r="574" spans="7:17">
      <c r="G574" s="10"/>
      <c r="L574" s="1"/>
      <c r="M574" s="1"/>
      <c r="O574" s="5"/>
      <c r="Q574" s="5"/>
    </row>
    <row r="575" spans="7:17">
      <c r="G575" s="10"/>
      <c r="L575" s="1"/>
      <c r="M575" s="1"/>
      <c r="O575" s="5"/>
      <c r="Q575" s="5"/>
    </row>
    <row r="576" spans="7:17">
      <c r="G576" s="10"/>
      <c r="L576" s="1"/>
      <c r="M576" s="1"/>
      <c r="O576" s="5"/>
      <c r="Q576" s="5"/>
    </row>
    <row r="577" spans="7:17">
      <c r="G577" s="10"/>
      <c r="L577" s="1"/>
      <c r="M577" s="1"/>
      <c r="O577" s="5"/>
      <c r="Q577" s="5"/>
    </row>
    <row r="578" spans="7:17">
      <c r="G578" s="10"/>
      <c r="L578" s="1"/>
      <c r="M578" s="1"/>
      <c r="O578" s="5"/>
      <c r="Q578" s="5"/>
    </row>
    <row r="579" spans="7:17">
      <c r="G579" s="10"/>
      <c r="L579" s="1"/>
      <c r="M579" s="1"/>
      <c r="O579" s="5"/>
      <c r="Q579" s="5"/>
    </row>
    <row r="580" spans="7:17">
      <c r="G580" s="10"/>
      <c r="L580" s="1"/>
      <c r="M580" s="1"/>
      <c r="O580" s="5"/>
      <c r="Q580" s="5"/>
    </row>
    <row r="581" spans="7:17">
      <c r="G581" s="10"/>
      <c r="L581" s="1"/>
      <c r="M581" s="1"/>
      <c r="O581" s="5"/>
      <c r="Q581" s="5"/>
    </row>
    <row r="582" spans="7:17">
      <c r="G582" s="10"/>
      <c r="L582" s="1"/>
      <c r="M582" s="1"/>
      <c r="O582" s="5"/>
      <c r="Q582" s="5"/>
    </row>
    <row r="583" spans="7:17">
      <c r="G583" s="10" t="s">
        <v>1</v>
      </c>
      <c r="L583" s="1"/>
      <c r="M583" s="1"/>
      <c r="O583" s="5"/>
      <c r="Q583" s="5"/>
    </row>
    <row r="584" spans="7:17">
      <c r="G584" s="10"/>
      <c r="L584" s="1"/>
      <c r="M584" s="1"/>
      <c r="O584" s="5"/>
      <c r="Q584" s="5"/>
    </row>
    <row r="585" spans="7:17">
      <c r="G585" s="10"/>
      <c r="L585" s="1"/>
      <c r="M585" s="1"/>
      <c r="O585" s="5"/>
      <c r="Q585" s="5"/>
    </row>
    <row r="586" spans="7:17">
      <c r="G586" s="10"/>
      <c r="L586" s="1"/>
      <c r="M586" s="1"/>
      <c r="O586" s="5"/>
      <c r="Q586" s="5"/>
    </row>
    <row r="587" spans="7:17">
      <c r="G587" s="10"/>
      <c r="L587" s="1"/>
      <c r="M587" s="1"/>
      <c r="O587" s="5"/>
      <c r="Q587" s="5"/>
    </row>
    <row r="588" spans="7:17">
      <c r="G588" s="10"/>
      <c r="L588" s="1"/>
      <c r="M588" s="1"/>
      <c r="O588" s="5"/>
      <c r="Q588" s="5"/>
    </row>
    <row r="589" spans="7:17">
      <c r="G589" s="10"/>
      <c r="L589" s="1"/>
      <c r="M589" s="1"/>
      <c r="O589" s="5"/>
      <c r="Q589" s="5"/>
    </row>
    <row r="590" spans="7:17">
      <c r="G590" s="10"/>
      <c r="L590" s="1"/>
      <c r="M590" s="1"/>
      <c r="O590" s="5"/>
      <c r="Q590" s="5"/>
    </row>
    <row r="591" spans="7:17">
      <c r="G591" s="10"/>
      <c r="L591" s="1"/>
      <c r="M591" s="1"/>
      <c r="O591" s="5"/>
      <c r="Q591" s="5"/>
    </row>
    <row r="592" spans="7:17">
      <c r="G592" s="10"/>
      <c r="L592" s="1"/>
      <c r="M592" s="1"/>
      <c r="O592" s="5"/>
      <c r="Q592" s="5"/>
    </row>
    <row r="593" spans="7:17">
      <c r="G593" s="10"/>
      <c r="L593" s="1"/>
      <c r="M593" s="1"/>
      <c r="O593" s="5"/>
      <c r="Q593" s="5"/>
    </row>
    <row r="594" spans="7:17">
      <c r="G594" s="10"/>
      <c r="L594" s="1"/>
      <c r="M594" s="1"/>
      <c r="O594" s="5"/>
      <c r="Q594" s="5"/>
    </row>
    <row r="595" spans="7:17">
      <c r="G595" s="10"/>
      <c r="L595" s="1"/>
      <c r="M595" s="1"/>
      <c r="O595" s="5"/>
      <c r="Q595" s="5"/>
    </row>
    <row r="596" spans="7:17">
      <c r="G596" s="10"/>
      <c r="L596" s="1"/>
      <c r="M596" s="1"/>
      <c r="O596" s="5"/>
      <c r="Q596" s="5"/>
    </row>
    <row r="597" spans="7:17">
      <c r="G597" s="10"/>
      <c r="L597" s="1"/>
      <c r="M597" s="1"/>
      <c r="O597" s="5"/>
      <c r="Q597" s="5"/>
    </row>
    <row r="598" spans="7:17">
      <c r="G598" s="10"/>
      <c r="L598" s="1"/>
      <c r="M598" s="1"/>
      <c r="O598" s="5"/>
      <c r="Q598" s="5"/>
    </row>
    <row r="599" spans="7:17">
      <c r="G599" s="10"/>
      <c r="L599" s="1"/>
      <c r="M599" s="1"/>
      <c r="O599" s="5"/>
      <c r="Q599" s="5"/>
    </row>
    <row r="600" spans="7:17">
      <c r="G600" s="10"/>
      <c r="L600" s="1"/>
      <c r="M600" s="1"/>
      <c r="O600" s="5"/>
      <c r="Q600" s="5"/>
    </row>
    <row r="601" spans="7:17">
      <c r="G601" s="10"/>
      <c r="L601" s="1"/>
      <c r="M601" s="1"/>
      <c r="O601" s="5"/>
      <c r="Q601" s="5"/>
    </row>
    <row r="602" spans="7:17">
      <c r="G602" s="10"/>
      <c r="L602" s="1"/>
      <c r="M602" s="1"/>
      <c r="O602" s="5"/>
      <c r="Q602" s="5"/>
    </row>
    <row r="603" spans="7:17">
      <c r="G603" s="10"/>
      <c r="L603" s="1"/>
      <c r="M603" s="1"/>
      <c r="O603" s="5"/>
      <c r="Q603" s="5"/>
    </row>
    <row r="604" spans="7:17">
      <c r="G604" s="10"/>
      <c r="L604" s="1"/>
      <c r="M604" s="1"/>
      <c r="O604" s="5"/>
      <c r="Q604" s="5"/>
    </row>
    <row r="605" spans="7:17">
      <c r="G605" s="10"/>
      <c r="L605" s="1"/>
      <c r="M605" s="1"/>
      <c r="O605" s="5"/>
      <c r="Q605" s="5"/>
    </row>
    <row r="606" spans="7:17">
      <c r="G606" s="10"/>
      <c r="L606" s="1"/>
      <c r="M606" s="1"/>
      <c r="O606" s="5"/>
      <c r="Q606" s="5"/>
    </row>
    <row r="607" spans="7:17">
      <c r="G607" s="10"/>
      <c r="L607" s="1"/>
      <c r="M607" s="1"/>
      <c r="O607" s="5"/>
      <c r="Q607" s="5"/>
    </row>
    <row r="608" spans="7:17">
      <c r="G608" s="10"/>
      <c r="L608" s="1"/>
      <c r="M608" s="1"/>
      <c r="O608" s="5"/>
      <c r="Q608" s="5"/>
    </row>
    <row r="609" spans="7:17">
      <c r="G609" s="10"/>
      <c r="L609" s="1"/>
      <c r="M609" s="1"/>
      <c r="O609" s="5"/>
      <c r="Q609" s="5"/>
    </row>
    <row r="610" spans="7:17">
      <c r="G610" s="10"/>
      <c r="L610" s="1"/>
      <c r="M610" s="1"/>
      <c r="O610" s="5"/>
      <c r="Q610" s="5"/>
    </row>
    <row r="611" spans="7:17">
      <c r="G611" s="10"/>
      <c r="L611" s="1"/>
      <c r="M611" s="1"/>
      <c r="O611" s="5"/>
      <c r="Q611" s="5"/>
    </row>
    <row r="612" spans="7:17">
      <c r="G612" s="10"/>
      <c r="L612" s="1"/>
      <c r="M612" s="1"/>
      <c r="O612" s="5"/>
      <c r="Q612" s="5"/>
    </row>
    <row r="613" spans="7:17">
      <c r="G613" s="10"/>
      <c r="L613" s="1"/>
      <c r="M613" s="1"/>
      <c r="O613" s="5"/>
      <c r="Q613" s="5"/>
    </row>
    <row r="614" spans="7:17">
      <c r="G614" s="10"/>
      <c r="L614" s="1"/>
      <c r="M614" s="1"/>
      <c r="O614" s="5"/>
      <c r="Q614" s="5"/>
    </row>
    <row r="615" spans="7:17">
      <c r="G615" s="10"/>
      <c r="L615" s="1"/>
      <c r="M615" s="1"/>
      <c r="O615" s="5"/>
      <c r="Q615" s="5"/>
    </row>
    <row r="616" spans="7:17">
      <c r="G616" s="10"/>
      <c r="L616" s="1"/>
      <c r="M616" s="1"/>
      <c r="O616" s="5"/>
      <c r="Q616" s="5"/>
    </row>
    <row r="617" spans="7:17">
      <c r="G617" s="10"/>
      <c r="L617" s="1"/>
      <c r="M617" s="1"/>
      <c r="O617" s="5"/>
      <c r="Q617" s="5"/>
    </row>
    <row r="618" spans="7:17">
      <c r="G618" s="10"/>
      <c r="L618" s="1"/>
      <c r="M618" s="1"/>
      <c r="O618" s="5"/>
      <c r="Q618" s="5"/>
    </row>
    <row r="619" spans="7:17">
      <c r="G619" s="10"/>
      <c r="L619" s="1"/>
      <c r="M619" s="1"/>
      <c r="O619" s="5"/>
      <c r="Q619" s="5"/>
    </row>
    <row r="620" spans="7:17">
      <c r="G620" s="10"/>
      <c r="L620" s="1"/>
      <c r="M620" s="1"/>
      <c r="O620" s="5"/>
      <c r="Q620" s="5"/>
    </row>
    <row r="621" spans="7:17">
      <c r="G621" s="10"/>
      <c r="L621" s="1"/>
      <c r="M621" s="1"/>
      <c r="O621" s="5"/>
      <c r="Q621" s="5"/>
    </row>
    <row r="622" spans="7:17">
      <c r="G622" s="10"/>
      <c r="L622" s="1"/>
      <c r="M622" s="1"/>
      <c r="O622" s="5"/>
      <c r="Q622" s="5"/>
    </row>
    <row r="623" spans="7:17">
      <c r="G623" s="10"/>
      <c r="L623" s="1"/>
      <c r="M623" s="1"/>
      <c r="O623" s="5"/>
      <c r="Q623" s="5"/>
    </row>
    <row r="624" spans="7:17">
      <c r="G624" s="10"/>
      <c r="L624" s="1"/>
      <c r="M624" s="1"/>
      <c r="O624" s="5"/>
      <c r="Q624" s="5"/>
    </row>
    <row r="625" spans="7:17">
      <c r="G625" s="10"/>
      <c r="L625" s="1"/>
      <c r="M625" s="1"/>
      <c r="O625" s="5"/>
      <c r="Q625" s="5"/>
    </row>
    <row r="626" spans="7:17">
      <c r="G626" s="10"/>
      <c r="L626" s="1"/>
      <c r="M626" s="1"/>
      <c r="O626" s="5"/>
      <c r="Q626" s="5"/>
    </row>
    <row r="627" spans="7:17">
      <c r="G627" s="10"/>
      <c r="L627" s="1"/>
      <c r="M627" s="1"/>
      <c r="O627" s="5"/>
      <c r="Q627" s="5"/>
    </row>
    <row r="628" spans="7:17">
      <c r="G628" s="10"/>
      <c r="L628" s="1"/>
      <c r="M628" s="1"/>
      <c r="O628" s="5"/>
      <c r="Q628" s="5"/>
    </row>
    <row r="629" spans="7:17">
      <c r="G629" s="10"/>
      <c r="L629" s="1"/>
      <c r="M629" s="1"/>
      <c r="O629" s="5"/>
      <c r="Q629" s="5"/>
    </row>
    <row r="630" spans="7:17">
      <c r="G630" s="10"/>
      <c r="L630" s="1"/>
      <c r="M630" s="1"/>
      <c r="O630" s="5"/>
      <c r="Q630" s="5"/>
    </row>
    <row r="631" spans="7:17">
      <c r="G631" s="10"/>
      <c r="L631" s="1"/>
      <c r="M631" s="1"/>
      <c r="O631" s="5"/>
      <c r="Q631" s="5"/>
    </row>
    <row r="632" spans="7:17">
      <c r="G632" s="10"/>
      <c r="L632" s="1"/>
      <c r="M632" s="1"/>
      <c r="O632" s="5"/>
      <c r="Q632" s="5"/>
    </row>
    <row r="633" spans="7:17">
      <c r="G633" s="10"/>
      <c r="L633" s="1"/>
      <c r="M633" s="1"/>
      <c r="O633" s="5"/>
      <c r="Q633" s="5"/>
    </row>
    <row r="634" spans="7:17">
      <c r="G634" s="10"/>
      <c r="L634" s="1"/>
      <c r="M634" s="1"/>
      <c r="O634" s="5"/>
      <c r="Q634" s="5"/>
    </row>
    <row r="635" spans="7:17">
      <c r="G635" s="10"/>
      <c r="L635" s="1"/>
      <c r="M635" s="1"/>
      <c r="O635" s="5"/>
      <c r="Q635" s="5"/>
    </row>
    <row r="636" spans="7:17">
      <c r="G636" s="10"/>
      <c r="L636" s="1"/>
      <c r="M636" s="1"/>
      <c r="O636" s="5"/>
      <c r="Q636" s="5"/>
    </row>
    <row r="637" spans="7:17">
      <c r="G637" s="10"/>
      <c r="L637" s="1"/>
      <c r="M637" s="1"/>
      <c r="O637" s="5"/>
      <c r="Q637" s="5"/>
    </row>
    <row r="638" spans="7:17">
      <c r="G638" s="10"/>
      <c r="L638" s="1"/>
      <c r="M638" s="1"/>
      <c r="O638" s="5"/>
      <c r="Q638" s="5"/>
    </row>
    <row r="639" spans="7:17">
      <c r="G639" s="10"/>
      <c r="L639" s="1"/>
      <c r="M639" s="1"/>
      <c r="O639" s="5"/>
      <c r="Q639" s="5"/>
    </row>
    <row r="640" spans="7:17">
      <c r="G640" s="10"/>
      <c r="L640" s="1"/>
      <c r="M640" s="1"/>
      <c r="O640" s="5"/>
      <c r="Q640" s="5"/>
    </row>
    <row r="641" spans="7:17">
      <c r="G641" s="10"/>
      <c r="L641" s="1"/>
      <c r="M641" s="1"/>
      <c r="O641" s="5"/>
      <c r="Q641" s="5"/>
    </row>
    <row r="642" spans="7:17">
      <c r="G642" s="10"/>
      <c r="L642" s="1"/>
      <c r="M642" s="1"/>
      <c r="O642" s="5"/>
      <c r="Q642" s="5"/>
    </row>
    <row r="643" spans="7:17">
      <c r="G643" s="10"/>
      <c r="L643" s="1"/>
      <c r="M643" s="1"/>
      <c r="O643" s="5"/>
      <c r="Q643" s="5"/>
    </row>
    <row r="644" spans="7:17">
      <c r="G644" s="10"/>
      <c r="L644" s="1"/>
      <c r="M644" s="1"/>
      <c r="O644" s="5"/>
      <c r="Q644" s="5"/>
    </row>
    <row r="645" spans="7:17">
      <c r="G645" s="10"/>
      <c r="L645" s="1"/>
      <c r="M645" s="1"/>
      <c r="O645" s="5"/>
      <c r="Q645" s="5"/>
    </row>
    <row r="646" spans="7:17">
      <c r="G646" s="10"/>
      <c r="L646" s="1"/>
      <c r="M646" s="1"/>
      <c r="O646" s="5"/>
      <c r="Q646" s="5"/>
    </row>
    <row r="647" spans="7:17">
      <c r="G647" s="10"/>
      <c r="L647" s="1"/>
      <c r="M647" s="1"/>
      <c r="O647" s="5"/>
      <c r="Q647" s="5"/>
    </row>
    <row r="648" spans="7:17">
      <c r="G648" s="10"/>
      <c r="L648" s="1"/>
      <c r="M648" s="1"/>
      <c r="O648" s="5"/>
      <c r="Q648" s="5"/>
    </row>
    <row r="649" spans="7:17">
      <c r="G649" s="10"/>
      <c r="L649" s="1"/>
      <c r="M649" s="1"/>
      <c r="O649" s="5"/>
      <c r="Q649" s="5"/>
    </row>
    <row r="650" spans="7:17">
      <c r="G650" s="10"/>
      <c r="L650" s="1"/>
      <c r="M650" s="1"/>
      <c r="O650" s="5"/>
      <c r="Q650" s="5"/>
    </row>
    <row r="651" spans="7:17">
      <c r="G651" s="10"/>
      <c r="L651" s="1"/>
      <c r="M651" s="1"/>
      <c r="O651" s="5"/>
      <c r="Q651" s="5"/>
    </row>
    <row r="652" spans="7:17">
      <c r="G652" s="10"/>
      <c r="L652" s="1"/>
      <c r="M652" s="1"/>
      <c r="O652" s="5"/>
      <c r="Q652" s="5"/>
    </row>
    <row r="653" spans="7:17">
      <c r="G653" s="10"/>
      <c r="L653" s="1"/>
      <c r="M653" s="1"/>
      <c r="O653" s="5"/>
      <c r="Q653" s="5"/>
    </row>
    <row r="654" spans="7:17">
      <c r="G654" s="10"/>
      <c r="L654" s="1"/>
      <c r="M654" s="1"/>
      <c r="O654" s="5"/>
      <c r="Q654" s="5"/>
    </row>
    <row r="655" spans="7:17">
      <c r="G655" s="10"/>
      <c r="L655" s="1"/>
      <c r="M655" s="1"/>
      <c r="O655" s="5"/>
      <c r="Q655" s="5"/>
    </row>
    <row r="656" spans="7:17">
      <c r="G656" s="10"/>
      <c r="L656" s="1"/>
      <c r="M656" s="1"/>
      <c r="O656" s="5"/>
      <c r="Q656" s="5"/>
    </row>
    <row r="657" spans="7:17">
      <c r="G657" s="10"/>
      <c r="L657" s="1"/>
      <c r="M657" s="1"/>
      <c r="O657" s="5"/>
      <c r="Q657" s="5"/>
    </row>
    <row r="658" spans="7:17">
      <c r="G658" s="10"/>
      <c r="L658" s="1"/>
      <c r="M658" s="1"/>
      <c r="O658" s="5"/>
      <c r="Q658" s="5"/>
    </row>
    <row r="659" spans="7:17">
      <c r="G659" s="10"/>
      <c r="L659" s="1"/>
      <c r="M659" s="1"/>
      <c r="O659" s="5"/>
      <c r="Q659" s="5"/>
    </row>
    <row r="660" spans="7:17">
      <c r="G660" s="10"/>
      <c r="L660" s="1"/>
      <c r="M660" s="1"/>
      <c r="O660" s="5"/>
      <c r="Q660" s="5"/>
    </row>
    <row r="661" spans="7:17">
      <c r="G661" s="10"/>
      <c r="L661" s="1"/>
      <c r="M661" s="1"/>
    </row>
    <row r="662" spans="7:17">
      <c r="G662" s="10"/>
      <c r="L662" s="1"/>
      <c r="M662" s="1"/>
    </row>
    <row r="663" spans="7:17">
      <c r="G663" s="10"/>
      <c r="L663" s="1"/>
      <c r="M663" s="1"/>
    </row>
    <row r="664" spans="7:17">
      <c r="G664" s="10"/>
      <c r="L664" s="1"/>
      <c r="M664" s="1"/>
    </row>
    <row r="665" spans="7:17">
      <c r="G665" s="10"/>
      <c r="L665" s="1"/>
      <c r="M665" s="1"/>
    </row>
    <row r="666" spans="7:17">
      <c r="G666" s="10"/>
      <c r="L666" s="1"/>
      <c r="M666" s="1"/>
    </row>
    <row r="667" spans="7:17">
      <c r="G667" s="10"/>
      <c r="L667" s="1"/>
      <c r="M667" s="1"/>
    </row>
    <row r="668" spans="7:17">
      <c r="G668" s="10"/>
      <c r="L668" s="1"/>
      <c r="M668" s="1"/>
    </row>
    <row r="669" spans="7:17">
      <c r="G669" s="10"/>
      <c r="L669" s="1"/>
      <c r="M669" s="1"/>
    </row>
    <row r="670" spans="7:17">
      <c r="G670" s="10"/>
      <c r="L670" s="1"/>
      <c r="M670" s="1"/>
    </row>
    <row r="671" spans="7:17">
      <c r="G671" s="10"/>
      <c r="L671" s="1"/>
      <c r="M671" s="1"/>
    </row>
    <row r="672" spans="7:17">
      <c r="G672" s="10"/>
      <c r="L672" s="1"/>
      <c r="M672" s="1"/>
    </row>
    <row r="673" spans="7:13">
      <c r="G673" s="10"/>
      <c r="L673" s="1"/>
      <c r="M673" s="1"/>
    </row>
    <row r="674" spans="7:13">
      <c r="G674" s="10"/>
      <c r="L674" s="1"/>
      <c r="M674" s="1"/>
    </row>
    <row r="675" spans="7:13">
      <c r="G675" s="10"/>
      <c r="L675" s="1"/>
      <c r="M675" s="1"/>
    </row>
    <row r="676" spans="7:13">
      <c r="G676" s="10"/>
      <c r="L676" s="1"/>
      <c r="M676" s="1"/>
    </row>
    <row r="677" spans="7:13">
      <c r="G677" s="10"/>
      <c r="L677" s="1"/>
      <c r="M677" s="1"/>
    </row>
    <row r="678" spans="7:13">
      <c r="G678" s="10"/>
      <c r="L678" s="1"/>
      <c r="M678" s="1"/>
    </row>
    <row r="679" spans="7:13">
      <c r="G679" s="10"/>
      <c r="L679" s="1"/>
      <c r="M679" s="1"/>
    </row>
    <row r="680" spans="7:13">
      <c r="G680" s="10"/>
      <c r="L680" s="1"/>
      <c r="M680" s="1"/>
    </row>
    <row r="681" spans="7:13">
      <c r="G681" s="10"/>
      <c r="L681" s="1"/>
      <c r="M681" s="1"/>
    </row>
    <row r="682" spans="7:13">
      <c r="G682" s="10"/>
      <c r="L682" s="1"/>
      <c r="M682" s="1"/>
    </row>
    <row r="683" spans="7:13">
      <c r="G683" s="10"/>
      <c r="L683" s="1"/>
      <c r="M683" s="1"/>
    </row>
    <row r="684" spans="7:13">
      <c r="G684" s="10"/>
      <c r="L684" s="1"/>
      <c r="M684" s="1"/>
    </row>
    <row r="685" spans="7:13">
      <c r="G685" s="10"/>
      <c r="L685" s="1"/>
      <c r="M685" s="1"/>
    </row>
    <row r="686" spans="7:13">
      <c r="G686" s="10"/>
      <c r="L686" s="1"/>
      <c r="M686" s="1"/>
    </row>
    <row r="687" spans="7:13">
      <c r="G687" s="10"/>
      <c r="L687" s="1"/>
      <c r="M687" s="1"/>
    </row>
    <row r="688" spans="7:13">
      <c r="G688" s="10"/>
      <c r="L688" s="1"/>
      <c r="M688" s="1"/>
    </row>
    <row r="689" spans="7:13">
      <c r="G689" s="10"/>
      <c r="L689" s="1"/>
      <c r="M689" s="1"/>
    </row>
    <row r="690" spans="7:13">
      <c r="G690" s="10"/>
      <c r="L690" s="1"/>
      <c r="M690" s="1"/>
    </row>
    <row r="691" spans="7:13">
      <c r="G691" s="10"/>
      <c r="L691" s="1"/>
      <c r="M691" s="1"/>
    </row>
    <row r="692" spans="7:13">
      <c r="G692" s="10"/>
      <c r="L692" s="1"/>
      <c r="M692" s="1"/>
    </row>
    <row r="693" spans="7:13">
      <c r="G693" s="10"/>
      <c r="L693" s="1"/>
      <c r="M693" s="1"/>
    </row>
    <row r="694" spans="7:13">
      <c r="G694" s="10"/>
      <c r="L694" s="1"/>
      <c r="M694" s="1"/>
    </row>
    <row r="695" spans="7:13">
      <c r="G695" s="10"/>
      <c r="L695" s="1"/>
      <c r="M695" s="1"/>
    </row>
    <row r="696" spans="7:13">
      <c r="G696" s="10"/>
      <c r="L696" s="1"/>
      <c r="M696" s="1"/>
    </row>
    <row r="697" spans="7:13">
      <c r="G697" s="10"/>
      <c r="L697" s="1"/>
      <c r="M697" s="1"/>
    </row>
    <row r="698" spans="7:13">
      <c r="G698" s="10"/>
      <c r="L698" s="1"/>
      <c r="M698" s="1"/>
    </row>
    <row r="699" spans="7:13">
      <c r="G699" s="10"/>
      <c r="L699" s="1"/>
      <c r="M699" s="1"/>
    </row>
    <row r="700" spans="7:13">
      <c r="G700" s="10"/>
      <c r="L700" s="1"/>
      <c r="M700" s="1"/>
    </row>
    <row r="701" spans="7:13">
      <c r="G701" s="10"/>
      <c r="L701" s="1"/>
      <c r="M701" s="1"/>
    </row>
    <row r="702" spans="7:13">
      <c r="G702" s="10"/>
      <c r="L702" s="1"/>
      <c r="M702" s="1"/>
    </row>
    <row r="703" spans="7:13">
      <c r="G703" s="10"/>
      <c r="L703" s="1"/>
      <c r="M703" s="1"/>
    </row>
    <row r="704" spans="7:13">
      <c r="G704" s="10"/>
      <c r="L704" s="1"/>
      <c r="M704" s="1"/>
    </row>
    <row r="705" spans="7:13">
      <c r="G705" s="10"/>
      <c r="L705" s="1"/>
      <c r="M705" s="1"/>
    </row>
    <row r="706" spans="7:13">
      <c r="G706" s="10"/>
      <c r="L706" s="1"/>
      <c r="M706" s="1"/>
    </row>
    <row r="707" spans="7:13">
      <c r="G707" s="10"/>
      <c r="L707" s="1"/>
      <c r="M707" s="1"/>
    </row>
    <row r="708" spans="7:13">
      <c r="G708" s="10"/>
      <c r="L708" s="1"/>
      <c r="M708" s="1"/>
    </row>
    <row r="709" spans="7:13">
      <c r="G709" s="10"/>
      <c r="L709" s="1"/>
      <c r="M709" s="1"/>
    </row>
    <row r="710" spans="7:13">
      <c r="G710" s="10"/>
      <c r="L710" s="1"/>
      <c r="M710" s="1"/>
    </row>
    <row r="711" spans="7:13">
      <c r="G711" s="10"/>
      <c r="L711" s="1"/>
      <c r="M711" s="1"/>
    </row>
    <row r="712" spans="7:13">
      <c r="G712" s="10"/>
      <c r="L712" s="1"/>
      <c r="M712" s="1"/>
    </row>
    <row r="713" spans="7:13">
      <c r="G713" s="10"/>
      <c r="L713" s="1"/>
      <c r="M713" s="1"/>
    </row>
    <row r="714" spans="7:13">
      <c r="G714" s="10"/>
      <c r="L714" s="1"/>
      <c r="M714" s="1"/>
    </row>
    <row r="715" spans="7:13">
      <c r="G715" s="10"/>
      <c r="L715" s="1"/>
      <c r="M715" s="1"/>
    </row>
    <row r="716" spans="7:13">
      <c r="G716" s="10"/>
      <c r="L716" s="1"/>
      <c r="M716" s="1"/>
    </row>
    <row r="717" spans="7:13">
      <c r="G717" s="10"/>
      <c r="L717" s="1"/>
      <c r="M717" s="1"/>
    </row>
    <row r="718" spans="7:13">
      <c r="G718" s="10"/>
      <c r="L718" s="1"/>
      <c r="M718" s="1"/>
    </row>
    <row r="719" spans="7:13">
      <c r="G719" s="10"/>
      <c r="L719" s="1"/>
      <c r="M719" s="1"/>
    </row>
    <row r="720" spans="7:13">
      <c r="G720" s="10"/>
      <c r="L720" s="1"/>
      <c r="M720" s="1"/>
    </row>
    <row r="721" spans="7:13">
      <c r="G721" s="10"/>
      <c r="L721" s="1"/>
      <c r="M721" s="1"/>
    </row>
    <row r="722" spans="7:13">
      <c r="G722" s="10"/>
      <c r="L722" s="1"/>
      <c r="M722" s="1"/>
    </row>
    <row r="723" spans="7:13">
      <c r="G723" s="10"/>
      <c r="L723" s="1"/>
      <c r="M723" s="1"/>
    </row>
    <row r="724" spans="7:13">
      <c r="G724" s="10"/>
      <c r="L724" s="1"/>
      <c r="M724" s="1"/>
    </row>
    <row r="725" spans="7:13">
      <c r="G725" s="10"/>
      <c r="L725" s="1"/>
      <c r="M725" s="1"/>
    </row>
    <row r="726" spans="7:13">
      <c r="G726" s="10"/>
      <c r="L726" s="1"/>
      <c r="M726" s="1"/>
    </row>
    <row r="727" spans="7:13">
      <c r="G727" s="10"/>
      <c r="L727" s="1"/>
      <c r="M727" s="1"/>
    </row>
    <row r="728" spans="7:13">
      <c r="G728" s="10"/>
      <c r="L728" s="1"/>
      <c r="M728" s="1"/>
    </row>
    <row r="729" spans="7:13">
      <c r="G729" s="10"/>
      <c r="L729" s="1"/>
      <c r="M729" s="1"/>
    </row>
    <row r="730" spans="7:13">
      <c r="G730" s="10"/>
      <c r="L730" s="1"/>
      <c r="M730" s="1"/>
    </row>
    <row r="731" spans="7:13">
      <c r="G731" s="10"/>
      <c r="L731" s="1"/>
      <c r="M731" s="1"/>
    </row>
    <row r="732" spans="7:13">
      <c r="G732" s="10"/>
      <c r="L732" s="1"/>
      <c r="M732" s="1"/>
    </row>
    <row r="733" spans="7:13">
      <c r="G733" s="10"/>
      <c r="L733" s="1"/>
      <c r="M733" s="1"/>
    </row>
    <row r="734" spans="7:13">
      <c r="G734" s="10"/>
      <c r="L734" s="1"/>
      <c r="M734" s="1"/>
    </row>
    <row r="735" spans="7:13">
      <c r="G735" s="10"/>
      <c r="L735" s="1"/>
      <c r="M735" s="1"/>
    </row>
    <row r="736" spans="7:13">
      <c r="G736" s="10"/>
      <c r="L736" s="1"/>
      <c r="M736" s="1"/>
    </row>
    <row r="737" spans="7:13">
      <c r="G737" s="10"/>
      <c r="L737" s="1"/>
      <c r="M737" s="1"/>
    </row>
    <row r="738" spans="7:13">
      <c r="G738" s="10"/>
      <c r="L738" s="1"/>
      <c r="M738" s="1"/>
    </row>
    <row r="739" spans="7:13">
      <c r="G739" s="10"/>
      <c r="L739" s="1"/>
      <c r="M739" s="1"/>
    </row>
    <row r="740" spans="7:13">
      <c r="G740" s="10"/>
      <c r="L740" s="1"/>
      <c r="M740" s="1"/>
    </row>
    <row r="741" spans="7:13">
      <c r="G741" s="10"/>
      <c r="L741" s="1"/>
      <c r="M741" s="1"/>
    </row>
    <row r="742" spans="7:13">
      <c r="G742" s="10"/>
      <c r="L742" s="1"/>
      <c r="M742" s="1"/>
    </row>
    <row r="743" spans="7:13">
      <c r="G743" s="10"/>
      <c r="L743" s="1"/>
      <c r="M743" s="1"/>
    </row>
    <row r="744" spans="7:13">
      <c r="G744" s="10"/>
      <c r="L744" s="1"/>
      <c r="M744" s="1"/>
    </row>
    <row r="745" spans="7:13">
      <c r="G745" s="10"/>
      <c r="L745" s="1"/>
      <c r="M745" s="1"/>
    </row>
    <row r="746" spans="7:13">
      <c r="G746" s="10"/>
      <c r="L746" s="1"/>
      <c r="M746" s="1"/>
    </row>
    <row r="747" spans="7:13">
      <c r="G747" s="10"/>
      <c r="L747" s="1"/>
      <c r="M747" s="1"/>
    </row>
    <row r="748" spans="7:13">
      <c r="G748" s="10"/>
      <c r="L748" s="1"/>
      <c r="M748" s="1"/>
    </row>
    <row r="749" spans="7:13">
      <c r="G749" s="10"/>
      <c r="L749" s="1"/>
      <c r="M749" s="1"/>
    </row>
    <row r="750" spans="7:13">
      <c r="G750" s="10"/>
      <c r="L750" s="1"/>
      <c r="M750" s="1"/>
    </row>
    <row r="751" spans="7:13">
      <c r="G751" s="10"/>
      <c r="L751" s="1"/>
      <c r="M751" s="1"/>
    </row>
    <row r="752" spans="7:13">
      <c r="G752" s="10"/>
      <c r="L752" s="1"/>
      <c r="M752" s="1"/>
    </row>
    <row r="753" spans="7:13">
      <c r="G753" s="10"/>
      <c r="L753" s="1"/>
      <c r="M753" s="1"/>
    </row>
    <row r="754" spans="7:13">
      <c r="G754" s="10"/>
      <c r="L754" s="1"/>
      <c r="M754" s="1"/>
    </row>
    <row r="755" spans="7:13">
      <c r="G755" s="10"/>
      <c r="L755" s="1"/>
      <c r="M755" s="1"/>
    </row>
    <row r="756" spans="7:13">
      <c r="G756" s="10"/>
      <c r="L756" s="1"/>
      <c r="M756" s="1"/>
    </row>
    <row r="757" spans="7:13">
      <c r="G757" s="10"/>
      <c r="L757" s="1"/>
      <c r="M757" s="1"/>
    </row>
    <row r="758" spans="7:13">
      <c r="G758" s="10"/>
      <c r="L758" s="1"/>
      <c r="M758" s="1"/>
    </row>
    <row r="759" spans="7:13">
      <c r="G759" s="10"/>
      <c r="L759" s="1"/>
      <c r="M759" s="1"/>
    </row>
    <row r="760" spans="7:13">
      <c r="G760" s="10"/>
      <c r="L760" s="1"/>
      <c r="M760" s="1"/>
    </row>
    <row r="761" spans="7:13">
      <c r="G761" s="10"/>
      <c r="L761" s="1"/>
      <c r="M761" s="1"/>
    </row>
    <row r="762" spans="7:13">
      <c r="G762" s="10"/>
      <c r="L762" s="1"/>
      <c r="M762" s="1"/>
    </row>
    <row r="763" spans="7:13">
      <c r="G763" s="10"/>
      <c r="L763" s="1"/>
      <c r="M763" s="1"/>
    </row>
    <row r="764" spans="7:13">
      <c r="G764" s="10"/>
      <c r="L764" s="1"/>
      <c r="M764" s="1"/>
    </row>
    <row r="765" spans="7:13">
      <c r="G765" s="10"/>
      <c r="L765" s="1"/>
      <c r="M765" s="1"/>
    </row>
    <row r="766" spans="7:13">
      <c r="G766" s="10"/>
      <c r="L766" s="1"/>
      <c r="M766" s="1"/>
    </row>
    <row r="767" spans="7:13">
      <c r="G767" s="10"/>
      <c r="L767" s="1"/>
      <c r="M767" s="1"/>
    </row>
    <row r="768" spans="7:13">
      <c r="G768" s="10"/>
      <c r="L768" s="1"/>
      <c r="M768" s="1"/>
    </row>
    <row r="769" spans="7:13">
      <c r="G769" s="10"/>
      <c r="L769" s="1"/>
      <c r="M769" s="1"/>
    </row>
  </sheetData>
  <mergeCells count="3">
    <mergeCell ref="C1:Q1"/>
    <mergeCell ref="C2:Q2"/>
    <mergeCell ref="C3:Q3"/>
  </mergeCells>
  <printOptions horizontalCentered="1"/>
  <pageMargins left="0.17" right="0.17" top="0.4" bottom="0.46" header="0.2" footer="0.17"/>
  <pageSetup scale="75" firstPageNumber="2" orientation="portrait" useFirstPageNumber="1" r:id="rId1"/>
  <headerFooter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8"/>
  <sheetViews>
    <sheetView topLeftCell="C103" zoomScaleNormal="100" workbookViewId="0">
      <selection activeCell="D84" sqref="D84:D85"/>
    </sheetView>
  </sheetViews>
  <sheetFormatPr defaultColWidth="8" defaultRowHeight="12.75"/>
  <cols>
    <col min="1" max="1" width="1.5703125" style="44" bestFit="1" customWidth="1"/>
    <col min="2" max="2" width="3.5703125" style="44" hidden="1" customWidth="1"/>
    <col min="3" max="3" width="45.85546875" style="44" customWidth="1"/>
    <col min="4" max="4" width="18.85546875" style="278" bestFit="1" customWidth="1"/>
    <col min="5" max="5" width="8.85546875" style="44" hidden="1" customWidth="1"/>
    <col min="6" max="6" width="0.85546875" style="44" customWidth="1"/>
    <col min="7" max="7" width="8" style="44" hidden="1" customWidth="1"/>
    <col min="8" max="8" width="49.5703125" style="44" bestFit="1" customWidth="1"/>
    <col min="9" max="9" width="18.85546875" style="278" bestFit="1" customWidth="1"/>
    <col min="10" max="10" width="1.42578125" style="44" customWidth="1"/>
    <col min="11" max="11" width="8" style="44" hidden="1" customWidth="1"/>
    <col min="12" max="12" width="18.140625" style="44" bestFit="1" customWidth="1"/>
    <col min="13" max="13" width="15.42578125" style="44" bestFit="1" customWidth="1"/>
    <col min="14" max="15" width="8" style="44" customWidth="1"/>
    <col min="16" max="17" width="14.5703125" style="44" bestFit="1" customWidth="1"/>
    <col min="18" max="256" width="8" style="44"/>
    <col min="257" max="258" width="1.5703125" style="44" customWidth="1"/>
    <col min="259" max="259" width="41.42578125" style="44" customWidth="1"/>
    <col min="260" max="260" width="15" style="44" customWidth="1"/>
    <col min="261" max="261" width="0.5703125" style="44" customWidth="1"/>
    <col min="262" max="262" width="0.85546875" style="44" customWidth="1"/>
    <col min="263" max="263" width="1.42578125" style="44" customWidth="1"/>
    <col min="264" max="264" width="51.140625" style="44" bestFit="1" customWidth="1"/>
    <col min="265" max="265" width="16.5703125" style="44" bestFit="1" customWidth="1"/>
    <col min="266" max="266" width="1.42578125" style="44" customWidth="1"/>
    <col min="267" max="267" width="8" style="44" customWidth="1"/>
    <col min="268" max="268" width="18.140625" style="44" bestFit="1" customWidth="1"/>
    <col min="269" max="271" width="8" style="44" customWidth="1"/>
    <col min="272" max="273" width="14.5703125" style="44" bestFit="1" customWidth="1"/>
    <col min="274" max="512" width="8" style="44"/>
    <col min="513" max="514" width="1.5703125" style="44" customWidth="1"/>
    <col min="515" max="515" width="41.42578125" style="44" customWidth="1"/>
    <col min="516" max="516" width="15" style="44" customWidth="1"/>
    <col min="517" max="517" width="0.5703125" style="44" customWidth="1"/>
    <col min="518" max="518" width="0.85546875" style="44" customWidth="1"/>
    <col min="519" max="519" width="1.42578125" style="44" customWidth="1"/>
    <col min="520" max="520" width="51.140625" style="44" bestFit="1" customWidth="1"/>
    <col min="521" max="521" width="16.5703125" style="44" bestFit="1" customWidth="1"/>
    <col min="522" max="522" width="1.42578125" style="44" customWidth="1"/>
    <col min="523" max="523" width="8" style="44" customWidth="1"/>
    <col min="524" max="524" width="18.140625" style="44" bestFit="1" customWidth="1"/>
    <col min="525" max="527" width="8" style="44" customWidth="1"/>
    <col min="528" max="529" width="14.5703125" style="44" bestFit="1" customWidth="1"/>
    <col min="530" max="768" width="8" style="44"/>
    <col min="769" max="770" width="1.5703125" style="44" customWidth="1"/>
    <col min="771" max="771" width="41.42578125" style="44" customWidth="1"/>
    <col min="772" max="772" width="15" style="44" customWidth="1"/>
    <col min="773" max="773" width="0.5703125" style="44" customWidth="1"/>
    <col min="774" max="774" width="0.85546875" style="44" customWidth="1"/>
    <col min="775" max="775" width="1.42578125" style="44" customWidth="1"/>
    <col min="776" max="776" width="51.140625" style="44" bestFit="1" customWidth="1"/>
    <col min="777" max="777" width="16.5703125" style="44" bestFit="1" customWidth="1"/>
    <col min="778" max="778" width="1.42578125" style="44" customWidth="1"/>
    <col min="779" max="779" width="8" style="44" customWidth="1"/>
    <col min="780" max="780" width="18.140625" style="44" bestFit="1" customWidth="1"/>
    <col min="781" max="783" width="8" style="44" customWidth="1"/>
    <col min="784" max="785" width="14.5703125" style="44" bestFit="1" customWidth="1"/>
    <col min="786" max="1024" width="8" style="44"/>
    <col min="1025" max="1026" width="1.5703125" style="44" customWidth="1"/>
    <col min="1027" max="1027" width="41.42578125" style="44" customWidth="1"/>
    <col min="1028" max="1028" width="15" style="44" customWidth="1"/>
    <col min="1029" max="1029" width="0.5703125" style="44" customWidth="1"/>
    <col min="1030" max="1030" width="0.85546875" style="44" customWidth="1"/>
    <col min="1031" max="1031" width="1.42578125" style="44" customWidth="1"/>
    <col min="1032" max="1032" width="51.140625" style="44" bestFit="1" customWidth="1"/>
    <col min="1033" max="1033" width="16.5703125" style="44" bestFit="1" customWidth="1"/>
    <col min="1034" max="1034" width="1.42578125" style="44" customWidth="1"/>
    <col min="1035" max="1035" width="8" style="44" customWidth="1"/>
    <col min="1036" max="1036" width="18.140625" style="44" bestFit="1" customWidth="1"/>
    <col min="1037" max="1039" width="8" style="44" customWidth="1"/>
    <col min="1040" max="1041" width="14.5703125" style="44" bestFit="1" customWidth="1"/>
    <col min="1042" max="1280" width="8" style="44"/>
    <col min="1281" max="1282" width="1.5703125" style="44" customWidth="1"/>
    <col min="1283" max="1283" width="41.42578125" style="44" customWidth="1"/>
    <col min="1284" max="1284" width="15" style="44" customWidth="1"/>
    <col min="1285" max="1285" width="0.5703125" style="44" customWidth="1"/>
    <col min="1286" max="1286" width="0.85546875" style="44" customWidth="1"/>
    <col min="1287" max="1287" width="1.42578125" style="44" customWidth="1"/>
    <col min="1288" max="1288" width="51.140625" style="44" bestFit="1" customWidth="1"/>
    <col min="1289" max="1289" width="16.5703125" style="44" bestFit="1" customWidth="1"/>
    <col min="1290" max="1290" width="1.42578125" style="44" customWidth="1"/>
    <col min="1291" max="1291" width="8" style="44" customWidth="1"/>
    <col min="1292" max="1292" width="18.140625" style="44" bestFit="1" customWidth="1"/>
    <col min="1293" max="1295" width="8" style="44" customWidth="1"/>
    <col min="1296" max="1297" width="14.5703125" style="44" bestFit="1" customWidth="1"/>
    <col min="1298" max="1536" width="8" style="44"/>
    <col min="1537" max="1538" width="1.5703125" style="44" customWidth="1"/>
    <col min="1539" max="1539" width="41.42578125" style="44" customWidth="1"/>
    <col min="1540" max="1540" width="15" style="44" customWidth="1"/>
    <col min="1541" max="1541" width="0.5703125" style="44" customWidth="1"/>
    <col min="1542" max="1542" width="0.85546875" style="44" customWidth="1"/>
    <col min="1543" max="1543" width="1.42578125" style="44" customWidth="1"/>
    <col min="1544" max="1544" width="51.140625" style="44" bestFit="1" customWidth="1"/>
    <col min="1545" max="1545" width="16.5703125" style="44" bestFit="1" customWidth="1"/>
    <col min="1546" max="1546" width="1.42578125" style="44" customWidth="1"/>
    <col min="1547" max="1547" width="8" style="44" customWidth="1"/>
    <col min="1548" max="1548" width="18.140625" style="44" bestFit="1" customWidth="1"/>
    <col min="1549" max="1551" width="8" style="44" customWidth="1"/>
    <col min="1552" max="1553" width="14.5703125" style="44" bestFit="1" customWidth="1"/>
    <col min="1554" max="1792" width="8" style="44"/>
    <col min="1793" max="1794" width="1.5703125" style="44" customWidth="1"/>
    <col min="1795" max="1795" width="41.42578125" style="44" customWidth="1"/>
    <col min="1796" max="1796" width="15" style="44" customWidth="1"/>
    <col min="1797" max="1797" width="0.5703125" style="44" customWidth="1"/>
    <col min="1798" max="1798" width="0.85546875" style="44" customWidth="1"/>
    <col min="1799" max="1799" width="1.42578125" style="44" customWidth="1"/>
    <col min="1800" max="1800" width="51.140625" style="44" bestFit="1" customWidth="1"/>
    <col min="1801" max="1801" width="16.5703125" style="44" bestFit="1" customWidth="1"/>
    <col min="1802" max="1802" width="1.42578125" style="44" customWidth="1"/>
    <col min="1803" max="1803" width="8" style="44" customWidth="1"/>
    <col min="1804" max="1804" width="18.140625" style="44" bestFit="1" customWidth="1"/>
    <col min="1805" max="1807" width="8" style="44" customWidth="1"/>
    <col min="1808" max="1809" width="14.5703125" style="44" bestFit="1" customWidth="1"/>
    <col min="1810" max="2048" width="8" style="44"/>
    <col min="2049" max="2050" width="1.5703125" style="44" customWidth="1"/>
    <col min="2051" max="2051" width="41.42578125" style="44" customWidth="1"/>
    <col min="2052" max="2052" width="15" style="44" customWidth="1"/>
    <col min="2053" max="2053" width="0.5703125" style="44" customWidth="1"/>
    <col min="2054" max="2054" width="0.85546875" style="44" customWidth="1"/>
    <col min="2055" max="2055" width="1.42578125" style="44" customWidth="1"/>
    <col min="2056" max="2056" width="51.140625" style="44" bestFit="1" customWidth="1"/>
    <col min="2057" max="2057" width="16.5703125" style="44" bestFit="1" customWidth="1"/>
    <col min="2058" max="2058" width="1.42578125" style="44" customWidth="1"/>
    <col min="2059" max="2059" width="8" style="44" customWidth="1"/>
    <col min="2060" max="2060" width="18.140625" style="44" bestFit="1" customWidth="1"/>
    <col min="2061" max="2063" width="8" style="44" customWidth="1"/>
    <col min="2064" max="2065" width="14.5703125" style="44" bestFit="1" customWidth="1"/>
    <col min="2066" max="2304" width="8" style="44"/>
    <col min="2305" max="2306" width="1.5703125" style="44" customWidth="1"/>
    <col min="2307" max="2307" width="41.42578125" style="44" customWidth="1"/>
    <col min="2308" max="2308" width="15" style="44" customWidth="1"/>
    <col min="2309" max="2309" width="0.5703125" style="44" customWidth="1"/>
    <col min="2310" max="2310" width="0.85546875" style="44" customWidth="1"/>
    <col min="2311" max="2311" width="1.42578125" style="44" customWidth="1"/>
    <col min="2312" max="2312" width="51.140625" style="44" bestFit="1" customWidth="1"/>
    <col min="2313" max="2313" width="16.5703125" style="44" bestFit="1" customWidth="1"/>
    <col min="2314" max="2314" width="1.42578125" style="44" customWidth="1"/>
    <col min="2315" max="2315" width="8" style="44" customWidth="1"/>
    <col min="2316" max="2316" width="18.140625" style="44" bestFit="1" customWidth="1"/>
    <col min="2317" max="2319" width="8" style="44" customWidth="1"/>
    <col min="2320" max="2321" width="14.5703125" style="44" bestFit="1" customWidth="1"/>
    <col min="2322" max="2560" width="8" style="44"/>
    <col min="2561" max="2562" width="1.5703125" style="44" customWidth="1"/>
    <col min="2563" max="2563" width="41.42578125" style="44" customWidth="1"/>
    <col min="2564" max="2564" width="15" style="44" customWidth="1"/>
    <col min="2565" max="2565" width="0.5703125" style="44" customWidth="1"/>
    <col min="2566" max="2566" width="0.85546875" style="44" customWidth="1"/>
    <col min="2567" max="2567" width="1.42578125" style="44" customWidth="1"/>
    <col min="2568" max="2568" width="51.140625" style="44" bestFit="1" customWidth="1"/>
    <col min="2569" max="2569" width="16.5703125" style="44" bestFit="1" customWidth="1"/>
    <col min="2570" max="2570" width="1.42578125" style="44" customWidth="1"/>
    <col min="2571" max="2571" width="8" style="44" customWidth="1"/>
    <col min="2572" max="2572" width="18.140625" style="44" bestFit="1" customWidth="1"/>
    <col min="2573" max="2575" width="8" style="44" customWidth="1"/>
    <col min="2576" max="2577" width="14.5703125" style="44" bestFit="1" customWidth="1"/>
    <col min="2578" max="2816" width="8" style="44"/>
    <col min="2817" max="2818" width="1.5703125" style="44" customWidth="1"/>
    <col min="2819" max="2819" width="41.42578125" style="44" customWidth="1"/>
    <col min="2820" max="2820" width="15" style="44" customWidth="1"/>
    <col min="2821" max="2821" width="0.5703125" style="44" customWidth="1"/>
    <col min="2822" max="2822" width="0.85546875" style="44" customWidth="1"/>
    <col min="2823" max="2823" width="1.42578125" style="44" customWidth="1"/>
    <col min="2824" max="2824" width="51.140625" style="44" bestFit="1" customWidth="1"/>
    <col min="2825" max="2825" width="16.5703125" style="44" bestFit="1" customWidth="1"/>
    <col min="2826" max="2826" width="1.42578125" style="44" customWidth="1"/>
    <col min="2827" max="2827" width="8" style="44" customWidth="1"/>
    <col min="2828" max="2828" width="18.140625" style="44" bestFit="1" customWidth="1"/>
    <col min="2829" max="2831" width="8" style="44" customWidth="1"/>
    <col min="2832" max="2833" width="14.5703125" style="44" bestFit="1" customWidth="1"/>
    <col min="2834" max="3072" width="8" style="44"/>
    <col min="3073" max="3074" width="1.5703125" style="44" customWidth="1"/>
    <col min="3075" max="3075" width="41.42578125" style="44" customWidth="1"/>
    <col min="3076" max="3076" width="15" style="44" customWidth="1"/>
    <col min="3077" max="3077" width="0.5703125" style="44" customWidth="1"/>
    <col min="3078" max="3078" width="0.85546875" style="44" customWidth="1"/>
    <col min="3079" max="3079" width="1.42578125" style="44" customWidth="1"/>
    <col min="3080" max="3080" width="51.140625" style="44" bestFit="1" customWidth="1"/>
    <col min="3081" max="3081" width="16.5703125" style="44" bestFit="1" customWidth="1"/>
    <col min="3082" max="3082" width="1.42578125" style="44" customWidth="1"/>
    <col min="3083" max="3083" width="8" style="44" customWidth="1"/>
    <col min="3084" max="3084" width="18.140625" style="44" bestFit="1" customWidth="1"/>
    <col min="3085" max="3087" width="8" style="44" customWidth="1"/>
    <col min="3088" max="3089" width="14.5703125" style="44" bestFit="1" customWidth="1"/>
    <col min="3090" max="3328" width="8" style="44"/>
    <col min="3329" max="3330" width="1.5703125" style="44" customWidth="1"/>
    <col min="3331" max="3331" width="41.42578125" style="44" customWidth="1"/>
    <col min="3332" max="3332" width="15" style="44" customWidth="1"/>
    <col min="3333" max="3333" width="0.5703125" style="44" customWidth="1"/>
    <col min="3334" max="3334" width="0.85546875" style="44" customWidth="1"/>
    <col min="3335" max="3335" width="1.42578125" style="44" customWidth="1"/>
    <col min="3336" max="3336" width="51.140625" style="44" bestFit="1" customWidth="1"/>
    <col min="3337" max="3337" width="16.5703125" style="44" bestFit="1" customWidth="1"/>
    <col min="3338" max="3338" width="1.42578125" style="44" customWidth="1"/>
    <col min="3339" max="3339" width="8" style="44" customWidth="1"/>
    <col min="3340" max="3340" width="18.140625" style="44" bestFit="1" customWidth="1"/>
    <col min="3341" max="3343" width="8" style="44" customWidth="1"/>
    <col min="3344" max="3345" width="14.5703125" style="44" bestFit="1" customWidth="1"/>
    <col min="3346" max="3584" width="8" style="44"/>
    <col min="3585" max="3586" width="1.5703125" style="44" customWidth="1"/>
    <col min="3587" max="3587" width="41.42578125" style="44" customWidth="1"/>
    <col min="3588" max="3588" width="15" style="44" customWidth="1"/>
    <col min="3589" max="3589" width="0.5703125" style="44" customWidth="1"/>
    <col min="3590" max="3590" width="0.85546875" style="44" customWidth="1"/>
    <col min="3591" max="3591" width="1.42578125" style="44" customWidth="1"/>
    <col min="3592" max="3592" width="51.140625" style="44" bestFit="1" customWidth="1"/>
    <col min="3593" max="3593" width="16.5703125" style="44" bestFit="1" customWidth="1"/>
    <col min="3594" max="3594" width="1.42578125" style="44" customWidth="1"/>
    <col min="3595" max="3595" width="8" style="44" customWidth="1"/>
    <col min="3596" max="3596" width="18.140625" style="44" bestFit="1" customWidth="1"/>
    <col min="3597" max="3599" width="8" style="44" customWidth="1"/>
    <col min="3600" max="3601" width="14.5703125" style="44" bestFit="1" customWidth="1"/>
    <col min="3602" max="3840" width="8" style="44"/>
    <col min="3841" max="3842" width="1.5703125" style="44" customWidth="1"/>
    <col min="3843" max="3843" width="41.42578125" style="44" customWidth="1"/>
    <col min="3844" max="3844" width="15" style="44" customWidth="1"/>
    <col min="3845" max="3845" width="0.5703125" style="44" customWidth="1"/>
    <col min="3846" max="3846" width="0.85546875" style="44" customWidth="1"/>
    <col min="3847" max="3847" width="1.42578125" style="44" customWidth="1"/>
    <col min="3848" max="3848" width="51.140625" style="44" bestFit="1" customWidth="1"/>
    <col min="3849" max="3849" width="16.5703125" style="44" bestFit="1" customWidth="1"/>
    <col min="3850" max="3850" width="1.42578125" style="44" customWidth="1"/>
    <col min="3851" max="3851" width="8" style="44" customWidth="1"/>
    <col min="3852" max="3852" width="18.140625" style="44" bestFit="1" customWidth="1"/>
    <col min="3853" max="3855" width="8" style="44" customWidth="1"/>
    <col min="3856" max="3857" width="14.5703125" style="44" bestFit="1" customWidth="1"/>
    <col min="3858" max="4096" width="8" style="44"/>
    <col min="4097" max="4098" width="1.5703125" style="44" customWidth="1"/>
    <col min="4099" max="4099" width="41.42578125" style="44" customWidth="1"/>
    <col min="4100" max="4100" width="15" style="44" customWidth="1"/>
    <col min="4101" max="4101" width="0.5703125" style="44" customWidth="1"/>
    <col min="4102" max="4102" width="0.85546875" style="44" customWidth="1"/>
    <col min="4103" max="4103" width="1.42578125" style="44" customWidth="1"/>
    <col min="4104" max="4104" width="51.140625" style="44" bestFit="1" customWidth="1"/>
    <col min="4105" max="4105" width="16.5703125" style="44" bestFit="1" customWidth="1"/>
    <col min="4106" max="4106" width="1.42578125" style="44" customWidth="1"/>
    <col min="4107" max="4107" width="8" style="44" customWidth="1"/>
    <col min="4108" max="4108" width="18.140625" style="44" bestFit="1" customWidth="1"/>
    <col min="4109" max="4111" width="8" style="44" customWidth="1"/>
    <col min="4112" max="4113" width="14.5703125" style="44" bestFit="1" customWidth="1"/>
    <col min="4114" max="4352" width="8" style="44"/>
    <col min="4353" max="4354" width="1.5703125" style="44" customWidth="1"/>
    <col min="4355" max="4355" width="41.42578125" style="44" customWidth="1"/>
    <col min="4356" max="4356" width="15" style="44" customWidth="1"/>
    <col min="4357" max="4357" width="0.5703125" style="44" customWidth="1"/>
    <col min="4358" max="4358" width="0.85546875" style="44" customWidth="1"/>
    <col min="4359" max="4359" width="1.42578125" style="44" customWidth="1"/>
    <col min="4360" max="4360" width="51.140625" style="44" bestFit="1" customWidth="1"/>
    <col min="4361" max="4361" width="16.5703125" style="44" bestFit="1" customWidth="1"/>
    <col min="4362" max="4362" width="1.42578125" style="44" customWidth="1"/>
    <col min="4363" max="4363" width="8" style="44" customWidth="1"/>
    <col min="4364" max="4364" width="18.140625" style="44" bestFit="1" customWidth="1"/>
    <col min="4365" max="4367" width="8" style="44" customWidth="1"/>
    <col min="4368" max="4369" width="14.5703125" style="44" bestFit="1" customWidth="1"/>
    <col min="4370" max="4608" width="8" style="44"/>
    <col min="4609" max="4610" width="1.5703125" style="44" customWidth="1"/>
    <col min="4611" max="4611" width="41.42578125" style="44" customWidth="1"/>
    <col min="4612" max="4612" width="15" style="44" customWidth="1"/>
    <col min="4613" max="4613" width="0.5703125" style="44" customWidth="1"/>
    <col min="4614" max="4614" width="0.85546875" style="44" customWidth="1"/>
    <col min="4615" max="4615" width="1.42578125" style="44" customWidth="1"/>
    <col min="4616" max="4616" width="51.140625" style="44" bestFit="1" customWidth="1"/>
    <col min="4617" max="4617" width="16.5703125" style="44" bestFit="1" customWidth="1"/>
    <col min="4618" max="4618" width="1.42578125" style="44" customWidth="1"/>
    <col min="4619" max="4619" width="8" style="44" customWidth="1"/>
    <col min="4620" max="4620" width="18.140625" style="44" bestFit="1" customWidth="1"/>
    <col min="4621" max="4623" width="8" style="44" customWidth="1"/>
    <col min="4624" max="4625" width="14.5703125" style="44" bestFit="1" customWidth="1"/>
    <col min="4626" max="4864" width="8" style="44"/>
    <col min="4865" max="4866" width="1.5703125" style="44" customWidth="1"/>
    <col min="4867" max="4867" width="41.42578125" style="44" customWidth="1"/>
    <col min="4868" max="4868" width="15" style="44" customWidth="1"/>
    <col min="4869" max="4869" width="0.5703125" style="44" customWidth="1"/>
    <col min="4870" max="4870" width="0.85546875" style="44" customWidth="1"/>
    <col min="4871" max="4871" width="1.42578125" style="44" customWidth="1"/>
    <col min="4872" max="4872" width="51.140625" style="44" bestFit="1" customWidth="1"/>
    <col min="4873" max="4873" width="16.5703125" style="44" bestFit="1" customWidth="1"/>
    <col min="4874" max="4874" width="1.42578125" style="44" customWidth="1"/>
    <col min="4875" max="4875" width="8" style="44" customWidth="1"/>
    <col min="4876" max="4876" width="18.140625" style="44" bestFit="1" customWidth="1"/>
    <col min="4877" max="4879" width="8" style="44" customWidth="1"/>
    <col min="4880" max="4881" width="14.5703125" style="44" bestFit="1" customWidth="1"/>
    <col min="4882" max="5120" width="8" style="44"/>
    <col min="5121" max="5122" width="1.5703125" style="44" customWidth="1"/>
    <col min="5123" max="5123" width="41.42578125" style="44" customWidth="1"/>
    <col min="5124" max="5124" width="15" style="44" customWidth="1"/>
    <col min="5125" max="5125" width="0.5703125" style="44" customWidth="1"/>
    <col min="5126" max="5126" width="0.85546875" style="44" customWidth="1"/>
    <col min="5127" max="5127" width="1.42578125" style="44" customWidth="1"/>
    <col min="5128" max="5128" width="51.140625" style="44" bestFit="1" customWidth="1"/>
    <col min="5129" max="5129" width="16.5703125" style="44" bestFit="1" customWidth="1"/>
    <col min="5130" max="5130" width="1.42578125" style="44" customWidth="1"/>
    <col min="5131" max="5131" width="8" style="44" customWidth="1"/>
    <col min="5132" max="5132" width="18.140625" style="44" bestFit="1" customWidth="1"/>
    <col min="5133" max="5135" width="8" style="44" customWidth="1"/>
    <col min="5136" max="5137" width="14.5703125" style="44" bestFit="1" customWidth="1"/>
    <col min="5138" max="5376" width="8" style="44"/>
    <col min="5377" max="5378" width="1.5703125" style="44" customWidth="1"/>
    <col min="5379" max="5379" width="41.42578125" style="44" customWidth="1"/>
    <col min="5380" max="5380" width="15" style="44" customWidth="1"/>
    <col min="5381" max="5381" width="0.5703125" style="44" customWidth="1"/>
    <col min="5382" max="5382" width="0.85546875" style="44" customWidth="1"/>
    <col min="5383" max="5383" width="1.42578125" style="44" customWidth="1"/>
    <col min="5384" max="5384" width="51.140625" style="44" bestFit="1" customWidth="1"/>
    <col min="5385" max="5385" width="16.5703125" style="44" bestFit="1" customWidth="1"/>
    <col min="5386" max="5386" width="1.42578125" style="44" customWidth="1"/>
    <col min="5387" max="5387" width="8" style="44" customWidth="1"/>
    <col min="5388" max="5388" width="18.140625" style="44" bestFit="1" customWidth="1"/>
    <col min="5389" max="5391" width="8" style="44" customWidth="1"/>
    <col min="5392" max="5393" width="14.5703125" style="44" bestFit="1" customWidth="1"/>
    <col min="5394" max="5632" width="8" style="44"/>
    <col min="5633" max="5634" width="1.5703125" style="44" customWidth="1"/>
    <col min="5635" max="5635" width="41.42578125" style="44" customWidth="1"/>
    <col min="5636" max="5636" width="15" style="44" customWidth="1"/>
    <col min="5637" max="5637" width="0.5703125" style="44" customWidth="1"/>
    <col min="5638" max="5638" width="0.85546875" style="44" customWidth="1"/>
    <col min="5639" max="5639" width="1.42578125" style="44" customWidth="1"/>
    <col min="5640" max="5640" width="51.140625" style="44" bestFit="1" customWidth="1"/>
    <col min="5641" max="5641" width="16.5703125" style="44" bestFit="1" customWidth="1"/>
    <col min="5642" max="5642" width="1.42578125" style="44" customWidth="1"/>
    <col min="5643" max="5643" width="8" style="44" customWidth="1"/>
    <col min="5644" max="5644" width="18.140625" style="44" bestFit="1" customWidth="1"/>
    <col min="5645" max="5647" width="8" style="44" customWidth="1"/>
    <col min="5648" max="5649" width="14.5703125" style="44" bestFit="1" customWidth="1"/>
    <col min="5650" max="5888" width="8" style="44"/>
    <col min="5889" max="5890" width="1.5703125" style="44" customWidth="1"/>
    <col min="5891" max="5891" width="41.42578125" style="44" customWidth="1"/>
    <col min="5892" max="5892" width="15" style="44" customWidth="1"/>
    <col min="5893" max="5893" width="0.5703125" style="44" customWidth="1"/>
    <col min="5894" max="5894" width="0.85546875" style="44" customWidth="1"/>
    <col min="5895" max="5895" width="1.42578125" style="44" customWidth="1"/>
    <col min="5896" max="5896" width="51.140625" style="44" bestFit="1" customWidth="1"/>
    <col min="5897" max="5897" width="16.5703125" style="44" bestFit="1" customWidth="1"/>
    <col min="5898" max="5898" width="1.42578125" style="44" customWidth="1"/>
    <col min="5899" max="5899" width="8" style="44" customWidth="1"/>
    <col min="5900" max="5900" width="18.140625" style="44" bestFit="1" customWidth="1"/>
    <col min="5901" max="5903" width="8" style="44" customWidth="1"/>
    <col min="5904" max="5905" width="14.5703125" style="44" bestFit="1" customWidth="1"/>
    <col min="5906" max="6144" width="8" style="44"/>
    <col min="6145" max="6146" width="1.5703125" style="44" customWidth="1"/>
    <col min="6147" max="6147" width="41.42578125" style="44" customWidth="1"/>
    <col min="6148" max="6148" width="15" style="44" customWidth="1"/>
    <col min="6149" max="6149" width="0.5703125" style="44" customWidth="1"/>
    <col min="6150" max="6150" width="0.85546875" style="44" customWidth="1"/>
    <col min="6151" max="6151" width="1.42578125" style="44" customWidth="1"/>
    <col min="6152" max="6152" width="51.140625" style="44" bestFit="1" customWidth="1"/>
    <col min="6153" max="6153" width="16.5703125" style="44" bestFit="1" customWidth="1"/>
    <col min="6154" max="6154" width="1.42578125" style="44" customWidth="1"/>
    <col min="6155" max="6155" width="8" style="44" customWidth="1"/>
    <col min="6156" max="6156" width="18.140625" style="44" bestFit="1" customWidth="1"/>
    <col min="6157" max="6159" width="8" style="44" customWidth="1"/>
    <col min="6160" max="6161" width="14.5703125" style="44" bestFit="1" customWidth="1"/>
    <col min="6162" max="6400" width="8" style="44"/>
    <col min="6401" max="6402" width="1.5703125" style="44" customWidth="1"/>
    <col min="6403" max="6403" width="41.42578125" style="44" customWidth="1"/>
    <col min="6404" max="6404" width="15" style="44" customWidth="1"/>
    <col min="6405" max="6405" width="0.5703125" style="44" customWidth="1"/>
    <col min="6406" max="6406" width="0.85546875" style="44" customWidth="1"/>
    <col min="6407" max="6407" width="1.42578125" style="44" customWidth="1"/>
    <col min="6408" max="6408" width="51.140625" style="44" bestFit="1" customWidth="1"/>
    <col min="6409" max="6409" width="16.5703125" style="44" bestFit="1" customWidth="1"/>
    <col min="6410" max="6410" width="1.42578125" style="44" customWidth="1"/>
    <col min="6411" max="6411" width="8" style="44" customWidth="1"/>
    <col min="6412" max="6412" width="18.140625" style="44" bestFit="1" customWidth="1"/>
    <col min="6413" max="6415" width="8" style="44" customWidth="1"/>
    <col min="6416" max="6417" width="14.5703125" style="44" bestFit="1" customWidth="1"/>
    <col min="6418" max="6656" width="8" style="44"/>
    <col min="6657" max="6658" width="1.5703125" style="44" customWidth="1"/>
    <col min="6659" max="6659" width="41.42578125" style="44" customWidth="1"/>
    <col min="6660" max="6660" width="15" style="44" customWidth="1"/>
    <col min="6661" max="6661" width="0.5703125" style="44" customWidth="1"/>
    <col min="6662" max="6662" width="0.85546875" style="44" customWidth="1"/>
    <col min="6663" max="6663" width="1.42578125" style="44" customWidth="1"/>
    <col min="6664" max="6664" width="51.140625" style="44" bestFit="1" customWidth="1"/>
    <col min="6665" max="6665" width="16.5703125" style="44" bestFit="1" customWidth="1"/>
    <col min="6666" max="6666" width="1.42578125" style="44" customWidth="1"/>
    <col min="6667" max="6667" width="8" style="44" customWidth="1"/>
    <col min="6668" max="6668" width="18.140625" style="44" bestFit="1" customWidth="1"/>
    <col min="6669" max="6671" width="8" style="44" customWidth="1"/>
    <col min="6672" max="6673" width="14.5703125" style="44" bestFit="1" customWidth="1"/>
    <col min="6674" max="6912" width="8" style="44"/>
    <col min="6913" max="6914" width="1.5703125" style="44" customWidth="1"/>
    <col min="6915" max="6915" width="41.42578125" style="44" customWidth="1"/>
    <col min="6916" max="6916" width="15" style="44" customWidth="1"/>
    <col min="6917" max="6917" width="0.5703125" style="44" customWidth="1"/>
    <col min="6918" max="6918" width="0.85546875" style="44" customWidth="1"/>
    <col min="6919" max="6919" width="1.42578125" style="44" customWidth="1"/>
    <col min="6920" max="6920" width="51.140625" style="44" bestFit="1" customWidth="1"/>
    <col min="6921" max="6921" width="16.5703125" style="44" bestFit="1" customWidth="1"/>
    <col min="6922" max="6922" width="1.42578125" style="44" customWidth="1"/>
    <col min="6923" max="6923" width="8" style="44" customWidth="1"/>
    <col min="6924" max="6924" width="18.140625" style="44" bestFit="1" customWidth="1"/>
    <col min="6925" max="6927" width="8" style="44" customWidth="1"/>
    <col min="6928" max="6929" width="14.5703125" style="44" bestFit="1" customWidth="1"/>
    <col min="6930" max="7168" width="8" style="44"/>
    <col min="7169" max="7170" width="1.5703125" style="44" customWidth="1"/>
    <col min="7171" max="7171" width="41.42578125" style="44" customWidth="1"/>
    <col min="7172" max="7172" width="15" style="44" customWidth="1"/>
    <col min="7173" max="7173" width="0.5703125" style="44" customWidth="1"/>
    <col min="7174" max="7174" width="0.85546875" style="44" customWidth="1"/>
    <col min="7175" max="7175" width="1.42578125" style="44" customWidth="1"/>
    <col min="7176" max="7176" width="51.140625" style="44" bestFit="1" customWidth="1"/>
    <col min="7177" max="7177" width="16.5703125" style="44" bestFit="1" customWidth="1"/>
    <col min="7178" max="7178" width="1.42578125" style="44" customWidth="1"/>
    <col min="7179" max="7179" width="8" style="44" customWidth="1"/>
    <col min="7180" max="7180" width="18.140625" style="44" bestFit="1" customWidth="1"/>
    <col min="7181" max="7183" width="8" style="44" customWidth="1"/>
    <col min="7184" max="7185" width="14.5703125" style="44" bestFit="1" customWidth="1"/>
    <col min="7186" max="7424" width="8" style="44"/>
    <col min="7425" max="7426" width="1.5703125" style="44" customWidth="1"/>
    <col min="7427" max="7427" width="41.42578125" style="44" customWidth="1"/>
    <col min="7428" max="7428" width="15" style="44" customWidth="1"/>
    <col min="7429" max="7429" width="0.5703125" style="44" customWidth="1"/>
    <col min="7430" max="7430" width="0.85546875" style="44" customWidth="1"/>
    <col min="7431" max="7431" width="1.42578125" style="44" customWidth="1"/>
    <col min="7432" max="7432" width="51.140625" style="44" bestFit="1" customWidth="1"/>
    <col min="7433" max="7433" width="16.5703125" style="44" bestFit="1" customWidth="1"/>
    <col min="7434" max="7434" width="1.42578125" style="44" customWidth="1"/>
    <col min="7435" max="7435" width="8" style="44" customWidth="1"/>
    <col min="7436" max="7436" width="18.140625" style="44" bestFit="1" customWidth="1"/>
    <col min="7437" max="7439" width="8" style="44" customWidth="1"/>
    <col min="7440" max="7441" width="14.5703125" style="44" bestFit="1" customWidth="1"/>
    <col min="7442" max="7680" width="8" style="44"/>
    <col min="7681" max="7682" width="1.5703125" style="44" customWidth="1"/>
    <col min="7683" max="7683" width="41.42578125" style="44" customWidth="1"/>
    <col min="7684" max="7684" width="15" style="44" customWidth="1"/>
    <col min="7685" max="7685" width="0.5703125" style="44" customWidth="1"/>
    <col min="7686" max="7686" width="0.85546875" style="44" customWidth="1"/>
    <col min="7687" max="7687" width="1.42578125" style="44" customWidth="1"/>
    <col min="7688" max="7688" width="51.140625" style="44" bestFit="1" customWidth="1"/>
    <col min="7689" max="7689" width="16.5703125" style="44" bestFit="1" customWidth="1"/>
    <col min="7690" max="7690" width="1.42578125" style="44" customWidth="1"/>
    <col min="7691" max="7691" width="8" style="44" customWidth="1"/>
    <col min="7692" max="7692" width="18.140625" style="44" bestFit="1" customWidth="1"/>
    <col min="7693" max="7695" width="8" style="44" customWidth="1"/>
    <col min="7696" max="7697" width="14.5703125" style="44" bestFit="1" customWidth="1"/>
    <col min="7698" max="7936" width="8" style="44"/>
    <col min="7937" max="7938" width="1.5703125" style="44" customWidth="1"/>
    <col min="7939" max="7939" width="41.42578125" style="44" customWidth="1"/>
    <col min="7940" max="7940" width="15" style="44" customWidth="1"/>
    <col min="7941" max="7941" width="0.5703125" style="44" customWidth="1"/>
    <col min="7942" max="7942" width="0.85546875" style="44" customWidth="1"/>
    <col min="7943" max="7943" width="1.42578125" style="44" customWidth="1"/>
    <col min="7944" max="7944" width="51.140625" style="44" bestFit="1" customWidth="1"/>
    <col min="7945" max="7945" width="16.5703125" style="44" bestFit="1" customWidth="1"/>
    <col min="7946" max="7946" width="1.42578125" style="44" customWidth="1"/>
    <col min="7947" max="7947" width="8" style="44" customWidth="1"/>
    <col min="7948" max="7948" width="18.140625" style="44" bestFit="1" customWidth="1"/>
    <col min="7949" max="7951" width="8" style="44" customWidth="1"/>
    <col min="7952" max="7953" width="14.5703125" style="44" bestFit="1" customWidth="1"/>
    <col min="7954" max="8192" width="8" style="44"/>
    <col min="8193" max="8194" width="1.5703125" style="44" customWidth="1"/>
    <col min="8195" max="8195" width="41.42578125" style="44" customWidth="1"/>
    <col min="8196" max="8196" width="15" style="44" customWidth="1"/>
    <col min="8197" max="8197" width="0.5703125" style="44" customWidth="1"/>
    <col min="8198" max="8198" width="0.85546875" style="44" customWidth="1"/>
    <col min="8199" max="8199" width="1.42578125" style="44" customWidth="1"/>
    <col min="8200" max="8200" width="51.140625" style="44" bestFit="1" customWidth="1"/>
    <col min="8201" max="8201" width="16.5703125" style="44" bestFit="1" customWidth="1"/>
    <col min="8202" max="8202" width="1.42578125" style="44" customWidth="1"/>
    <col min="8203" max="8203" width="8" style="44" customWidth="1"/>
    <col min="8204" max="8204" width="18.140625" style="44" bestFit="1" customWidth="1"/>
    <col min="8205" max="8207" width="8" style="44" customWidth="1"/>
    <col min="8208" max="8209" width="14.5703125" style="44" bestFit="1" customWidth="1"/>
    <col min="8210" max="8448" width="8" style="44"/>
    <col min="8449" max="8450" width="1.5703125" style="44" customWidth="1"/>
    <col min="8451" max="8451" width="41.42578125" style="44" customWidth="1"/>
    <col min="8452" max="8452" width="15" style="44" customWidth="1"/>
    <col min="8453" max="8453" width="0.5703125" style="44" customWidth="1"/>
    <col min="8454" max="8454" width="0.85546875" style="44" customWidth="1"/>
    <col min="8455" max="8455" width="1.42578125" style="44" customWidth="1"/>
    <col min="8456" max="8456" width="51.140625" style="44" bestFit="1" customWidth="1"/>
    <col min="8457" max="8457" width="16.5703125" style="44" bestFit="1" customWidth="1"/>
    <col min="8458" max="8458" width="1.42578125" style="44" customWidth="1"/>
    <col min="8459" max="8459" width="8" style="44" customWidth="1"/>
    <col min="8460" max="8460" width="18.140625" style="44" bestFit="1" customWidth="1"/>
    <col min="8461" max="8463" width="8" style="44" customWidth="1"/>
    <col min="8464" max="8465" width="14.5703125" style="44" bestFit="1" customWidth="1"/>
    <col min="8466" max="8704" width="8" style="44"/>
    <col min="8705" max="8706" width="1.5703125" style="44" customWidth="1"/>
    <col min="8707" max="8707" width="41.42578125" style="44" customWidth="1"/>
    <col min="8708" max="8708" width="15" style="44" customWidth="1"/>
    <col min="8709" max="8709" width="0.5703125" style="44" customWidth="1"/>
    <col min="8710" max="8710" width="0.85546875" style="44" customWidth="1"/>
    <col min="8711" max="8711" width="1.42578125" style="44" customWidth="1"/>
    <col min="8712" max="8712" width="51.140625" style="44" bestFit="1" customWidth="1"/>
    <col min="8713" max="8713" width="16.5703125" style="44" bestFit="1" customWidth="1"/>
    <col min="8714" max="8714" width="1.42578125" style="44" customWidth="1"/>
    <col min="8715" max="8715" width="8" style="44" customWidth="1"/>
    <col min="8716" max="8716" width="18.140625" style="44" bestFit="1" customWidth="1"/>
    <col min="8717" max="8719" width="8" style="44" customWidth="1"/>
    <col min="8720" max="8721" width="14.5703125" style="44" bestFit="1" customWidth="1"/>
    <col min="8722" max="8960" width="8" style="44"/>
    <col min="8961" max="8962" width="1.5703125" style="44" customWidth="1"/>
    <col min="8963" max="8963" width="41.42578125" style="44" customWidth="1"/>
    <col min="8964" max="8964" width="15" style="44" customWidth="1"/>
    <col min="8965" max="8965" width="0.5703125" style="44" customWidth="1"/>
    <col min="8966" max="8966" width="0.85546875" style="44" customWidth="1"/>
    <col min="8967" max="8967" width="1.42578125" style="44" customWidth="1"/>
    <col min="8968" max="8968" width="51.140625" style="44" bestFit="1" customWidth="1"/>
    <col min="8969" max="8969" width="16.5703125" style="44" bestFit="1" customWidth="1"/>
    <col min="8970" max="8970" width="1.42578125" style="44" customWidth="1"/>
    <col min="8971" max="8971" width="8" style="44" customWidth="1"/>
    <col min="8972" max="8972" width="18.140625" style="44" bestFit="1" customWidth="1"/>
    <col min="8973" max="8975" width="8" style="44" customWidth="1"/>
    <col min="8976" max="8977" width="14.5703125" style="44" bestFit="1" customWidth="1"/>
    <col min="8978" max="9216" width="8" style="44"/>
    <col min="9217" max="9218" width="1.5703125" style="44" customWidth="1"/>
    <col min="9219" max="9219" width="41.42578125" style="44" customWidth="1"/>
    <col min="9220" max="9220" width="15" style="44" customWidth="1"/>
    <col min="9221" max="9221" width="0.5703125" style="44" customWidth="1"/>
    <col min="9222" max="9222" width="0.85546875" style="44" customWidth="1"/>
    <col min="9223" max="9223" width="1.42578125" style="44" customWidth="1"/>
    <col min="9224" max="9224" width="51.140625" style="44" bestFit="1" customWidth="1"/>
    <col min="9225" max="9225" width="16.5703125" style="44" bestFit="1" customWidth="1"/>
    <col min="9226" max="9226" width="1.42578125" style="44" customWidth="1"/>
    <col min="9227" max="9227" width="8" style="44" customWidth="1"/>
    <col min="9228" max="9228" width="18.140625" style="44" bestFit="1" customWidth="1"/>
    <col min="9229" max="9231" width="8" style="44" customWidth="1"/>
    <col min="9232" max="9233" width="14.5703125" style="44" bestFit="1" customWidth="1"/>
    <col min="9234" max="9472" width="8" style="44"/>
    <col min="9473" max="9474" width="1.5703125" style="44" customWidth="1"/>
    <col min="9475" max="9475" width="41.42578125" style="44" customWidth="1"/>
    <col min="9476" max="9476" width="15" style="44" customWidth="1"/>
    <col min="9477" max="9477" width="0.5703125" style="44" customWidth="1"/>
    <col min="9478" max="9478" width="0.85546875" style="44" customWidth="1"/>
    <col min="9479" max="9479" width="1.42578125" style="44" customWidth="1"/>
    <col min="9480" max="9480" width="51.140625" style="44" bestFit="1" customWidth="1"/>
    <col min="9481" max="9481" width="16.5703125" style="44" bestFit="1" customWidth="1"/>
    <col min="9482" max="9482" width="1.42578125" style="44" customWidth="1"/>
    <col min="9483" max="9483" width="8" style="44" customWidth="1"/>
    <col min="9484" max="9484" width="18.140625" style="44" bestFit="1" customWidth="1"/>
    <col min="9485" max="9487" width="8" style="44" customWidth="1"/>
    <col min="9488" max="9489" width="14.5703125" style="44" bestFit="1" customWidth="1"/>
    <col min="9490" max="9728" width="8" style="44"/>
    <col min="9729" max="9730" width="1.5703125" style="44" customWidth="1"/>
    <col min="9731" max="9731" width="41.42578125" style="44" customWidth="1"/>
    <col min="9732" max="9732" width="15" style="44" customWidth="1"/>
    <col min="9733" max="9733" width="0.5703125" style="44" customWidth="1"/>
    <col min="9734" max="9734" width="0.85546875" style="44" customWidth="1"/>
    <col min="9735" max="9735" width="1.42578125" style="44" customWidth="1"/>
    <col min="9736" max="9736" width="51.140625" style="44" bestFit="1" customWidth="1"/>
    <col min="9737" max="9737" width="16.5703125" style="44" bestFit="1" customWidth="1"/>
    <col min="9738" max="9738" width="1.42578125" style="44" customWidth="1"/>
    <col min="9739" max="9739" width="8" style="44" customWidth="1"/>
    <col min="9740" max="9740" width="18.140625" style="44" bestFit="1" customWidth="1"/>
    <col min="9741" max="9743" width="8" style="44" customWidth="1"/>
    <col min="9744" max="9745" width="14.5703125" style="44" bestFit="1" customWidth="1"/>
    <col min="9746" max="9984" width="8" style="44"/>
    <col min="9985" max="9986" width="1.5703125" style="44" customWidth="1"/>
    <col min="9987" max="9987" width="41.42578125" style="44" customWidth="1"/>
    <col min="9988" max="9988" width="15" style="44" customWidth="1"/>
    <col min="9989" max="9989" width="0.5703125" style="44" customWidth="1"/>
    <col min="9990" max="9990" width="0.85546875" style="44" customWidth="1"/>
    <col min="9991" max="9991" width="1.42578125" style="44" customWidth="1"/>
    <col min="9992" max="9992" width="51.140625" style="44" bestFit="1" customWidth="1"/>
    <col min="9993" max="9993" width="16.5703125" style="44" bestFit="1" customWidth="1"/>
    <col min="9994" max="9994" width="1.42578125" style="44" customWidth="1"/>
    <col min="9995" max="9995" width="8" style="44" customWidth="1"/>
    <col min="9996" max="9996" width="18.140625" style="44" bestFit="1" customWidth="1"/>
    <col min="9997" max="9999" width="8" style="44" customWidth="1"/>
    <col min="10000" max="10001" width="14.5703125" style="44" bestFit="1" customWidth="1"/>
    <col min="10002" max="10240" width="8" style="44"/>
    <col min="10241" max="10242" width="1.5703125" style="44" customWidth="1"/>
    <col min="10243" max="10243" width="41.42578125" style="44" customWidth="1"/>
    <col min="10244" max="10244" width="15" style="44" customWidth="1"/>
    <col min="10245" max="10245" width="0.5703125" style="44" customWidth="1"/>
    <col min="10246" max="10246" width="0.85546875" style="44" customWidth="1"/>
    <col min="10247" max="10247" width="1.42578125" style="44" customWidth="1"/>
    <col min="10248" max="10248" width="51.140625" style="44" bestFit="1" customWidth="1"/>
    <col min="10249" max="10249" width="16.5703125" style="44" bestFit="1" customWidth="1"/>
    <col min="10250" max="10250" width="1.42578125" style="44" customWidth="1"/>
    <col min="10251" max="10251" width="8" style="44" customWidth="1"/>
    <col min="10252" max="10252" width="18.140625" style="44" bestFit="1" customWidth="1"/>
    <col min="10253" max="10255" width="8" style="44" customWidth="1"/>
    <col min="10256" max="10257" width="14.5703125" style="44" bestFit="1" customWidth="1"/>
    <col min="10258" max="10496" width="8" style="44"/>
    <col min="10497" max="10498" width="1.5703125" style="44" customWidth="1"/>
    <col min="10499" max="10499" width="41.42578125" style="44" customWidth="1"/>
    <col min="10500" max="10500" width="15" style="44" customWidth="1"/>
    <col min="10501" max="10501" width="0.5703125" style="44" customWidth="1"/>
    <col min="10502" max="10502" width="0.85546875" style="44" customWidth="1"/>
    <col min="10503" max="10503" width="1.42578125" style="44" customWidth="1"/>
    <col min="10504" max="10504" width="51.140625" style="44" bestFit="1" customWidth="1"/>
    <col min="10505" max="10505" width="16.5703125" style="44" bestFit="1" customWidth="1"/>
    <col min="10506" max="10506" width="1.42578125" style="44" customWidth="1"/>
    <col min="10507" max="10507" width="8" style="44" customWidth="1"/>
    <col min="10508" max="10508" width="18.140625" style="44" bestFit="1" customWidth="1"/>
    <col min="10509" max="10511" width="8" style="44" customWidth="1"/>
    <col min="10512" max="10513" width="14.5703125" style="44" bestFit="1" customWidth="1"/>
    <col min="10514" max="10752" width="8" style="44"/>
    <col min="10753" max="10754" width="1.5703125" style="44" customWidth="1"/>
    <col min="10755" max="10755" width="41.42578125" style="44" customWidth="1"/>
    <col min="10756" max="10756" width="15" style="44" customWidth="1"/>
    <col min="10757" max="10757" width="0.5703125" style="44" customWidth="1"/>
    <col min="10758" max="10758" width="0.85546875" style="44" customWidth="1"/>
    <col min="10759" max="10759" width="1.42578125" style="44" customWidth="1"/>
    <col min="10760" max="10760" width="51.140625" style="44" bestFit="1" customWidth="1"/>
    <col min="10761" max="10761" width="16.5703125" style="44" bestFit="1" customWidth="1"/>
    <col min="10762" max="10762" width="1.42578125" style="44" customWidth="1"/>
    <col min="10763" max="10763" width="8" style="44" customWidth="1"/>
    <col min="10764" max="10764" width="18.140625" style="44" bestFit="1" customWidth="1"/>
    <col min="10765" max="10767" width="8" style="44" customWidth="1"/>
    <col min="10768" max="10769" width="14.5703125" style="44" bestFit="1" customWidth="1"/>
    <col min="10770" max="11008" width="8" style="44"/>
    <col min="11009" max="11010" width="1.5703125" style="44" customWidth="1"/>
    <col min="11011" max="11011" width="41.42578125" style="44" customWidth="1"/>
    <col min="11012" max="11012" width="15" style="44" customWidth="1"/>
    <col min="11013" max="11013" width="0.5703125" style="44" customWidth="1"/>
    <col min="11014" max="11014" width="0.85546875" style="44" customWidth="1"/>
    <col min="11015" max="11015" width="1.42578125" style="44" customWidth="1"/>
    <col min="11016" max="11016" width="51.140625" style="44" bestFit="1" customWidth="1"/>
    <col min="11017" max="11017" width="16.5703125" style="44" bestFit="1" customWidth="1"/>
    <col min="11018" max="11018" width="1.42578125" style="44" customWidth="1"/>
    <col min="11019" max="11019" width="8" style="44" customWidth="1"/>
    <col min="11020" max="11020" width="18.140625" style="44" bestFit="1" customWidth="1"/>
    <col min="11021" max="11023" width="8" style="44" customWidth="1"/>
    <col min="11024" max="11025" width="14.5703125" style="44" bestFit="1" customWidth="1"/>
    <col min="11026" max="11264" width="8" style="44"/>
    <col min="11265" max="11266" width="1.5703125" style="44" customWidth="1"/>
    <col min="11267" max="11267" width="41.42578125" style="44" customWidth="1"/>
    <col min="11268" max="11268" width="15" style="44" customWidth="1"/>
    <col min="11269" max="11269" width="0.5703125" style="44" customWidth="1"/>
    <col min="11270" max="11270" width="0.85546875" style="44" customWidth="1"/>
    <col min="11271" max="11271" width="1.42578125" style="44" customWidth="1"/>
    <col min="11272" max="11272" width="51.140625" style="44" bestFit="1" customWidth="1"/>
    <col min="11273" max="11273" width="16.5703125" style="44" bestFit="1" customWidth="1"/>
    <col min="11274" max="11274" width="1.42578125" style="44" customWidth="1"/>
    <col min="11275" max="11275" width="8" style="44" customWidth="1"/>
    <col min="11276" max="11276" width="18.140625" style="44" bestFit="1" customWidth="1"/>
    <col min="11277" max="11279" width="8" style="44" customWidth="1"/>
    <col min="11280" max="11281" width="14.5703125" style="44" bestFit="1" customWidth="1"/>
    <col min="11282" max="11520" width="8" style="44"/>
    <col min="11521" max="11522" width="1.5703125" style="44" customWidth="1"/>
    <col min="11523" max="11523" width="41.42578125" style="44" customWidth="1"/>
    <col min="11524" max="11524" width="15" style="44" customWidth="1"/>
    <col min="11525" max="11525" width="0.5703125" style="44" customWidth="1"/>
    <col min="11526" max="11526" width="0.85546875" style="44" customWidth="1"/>
    <col min="11527" max="11527" width="1.42578125" style="44" customWidth="1"/>
    <col min="11528" max="11528" width="51.140625" style="44" bestFit="1" customWidth="1"/>
    <col min="11529" max="11529" width="16.5703125" style="44" bestFit="1" customWidth="1"/>
    <col min="11530" max="11530" width="1.42578125" style="44" customWidth="1"/>
    <col min="11531" max="11531" width="8" style="44" customWidth="1"/>
    <col min="11532" max="11532" width="18.140625" style="44" bestFit="1" customWidth="1"/>
    <col min="11533" max="11535" width="8" style="44" customWidth="1"/>
    <col min="11536" max="11537" width="14.5703125" style="44" bestFit="1" customWidth="1"/>
    <col min="11538" max="11776" width="8" style="44"/>
    <col min="11777" max="11778" width="1.5703125" style="44" customWidth="1"/>
    <col min="11779" max="11779" width="41.42578125" style="44" customWidth="1"/>
    <col min="11780" max="11780" width="15" style="44" customWidth="1"/>
    <col min="11781" max="11781" width="0.5703125" style="44" customWidth="1"/>
    <col min="11782" max="11782" width="0.85546875" style="44" customWidth="1"/>
    <col min="11783" max="11783" width="1.42578125" style="44" customWidth="1"/>
    <col min="11784" max="11784" width="51.140625" style="44" bestFit="1" customWidth="1"/>
    <col min="11785" max="11785" width="16.5703125" style="44" bestFit="1" customWidth="1"/>
    <col min="11786" max="11786" width="1.42578125" style="44" customWidth="1"/>
    <col min="11787" max="11787" width="8" style="44" customWidth="1"/>
    <col min="11788" max="11788" width="18.140625" style="44" bestFit="1" customWidth="1"/>
    <col min="11789" max="11791" width="8" style="44" customWidth="1"/>
    <col min="11792" max="11793" width="14.5703125" style="44" bestFit="1" customWidth="1"/>
    <col min="11794" max="12032" width="8" style="44"/>
    <col min="12033" max="12034" width="1.5703125" style="44" customWidth="1"/>
    <col min="12035" max="12035" width="41.42578125" style="44" customWidth="1"/>
    <col min="12036" max="12036" width="15" style="44" customWidth="1"/>
    <col min="12037" max="12037" width="0.5703125" style="44" customWidth="1"/>
    <col min="12038" max="12038" width="0.85546875" style="44" customWidth="1"/>
    <col min="12039" max="12039" width="1.42578125" style="44" customWidth="1"/>
    <col min="12040" max="12040" width="51.140625" style="44" bestFit="1" customWidth="1"/>
    <col min="12041" max="12041" width="16.5703125" style="44" bestFit="1" customWidth="1"/>
    <col min="12042" max="12042" width="1.42578125" style="44" customWidth="1"/>
    <col min="12043" max="12043" width="8" style="44" customWidth="1"/>
    <col min="12044" max="12044" width="18.140625" style="44" bestFit="1" customWidth="1"/>
    <col min="12045" max="12047" width="8" style="44" customWidth="1"/>
    <col min="12048" max="12049" width="14.5703125" style="44" bestFit="1" customWidth="1"/>
    <col min="12050" max="12288" width="8" style="44"/>
    <col min="12289" max="12290" width="1.5703125" style="44" customWidth="1"/>
    <col min="12291" max="12291" width="41.42578125" style="44" customWidth="1"/>
    <col min="12292" max="12292" width="15" style="44" customWidth="1"/>
    <col min="12293" max="12293" width="0.5703125" style="44" customWidth="1"/>
    <col min="12294" max="12294" width="0.85546875" style="44" customWidth="1"/>
    <col min="12295" max="12295" width="1.42578125" style="44" customWidth="1"/>
    <col min="12296" max="12296" width="51.140625" style="44" bestFit="1" customWidth="1"/>
    <col min="12297" max="12297" width="16.5703125" style="44" bestFit="1" customWidth="1"/>
    <col min="12298" max="12298" width="1.42578125" style="44" customWidth="1"/>
    <col min="12299" max="12299" width="8" style="44" customWidth="1"/>
    <col min="12300" max="12300" width="18.140625" style="44" bestFit="1" customWidth="1"/>
    <col min="12301" max="12303" width="8" style="44" customWidth="1"/>
    <col min="12304" max="12305" width="14.5703125" style="44" bestFit="1" customWidth="1"/>
    <col min="12306" max="12544" width="8" style="44"/>
    <col min="12545" max="12546" width="1.5703125" style="44" customWidth="1"/>
    <col min="12547" max="12547" width="41.42578125" style="44" customWidth="1"/>
    <col min="12548" max="12548" width="15" style="44" customWidth="1"/>
    <col min="12549" max="12549" width="0.5703125" style="44" customWidth="1"/>
    <col min="12550" max="12550" width="0.85546875" style="44" customWidth="1"/>
    <col min="12551" max="12551" width="1.42578125" style="44" customWidth="1"/>
    <col min="12552" max="12552" width="51.140625" style="44" bestFit="1" customWidth="1"/>
    <col min="12553" max="12553" width="16.5703125" style="44" bestFit="1" customWidth="1"/>
    <col min="12554" max="12554" width="1.42578125" style="44" customWidth="1"/>
    <col min="12555" max="12555" width="8" style="44" customWidth="1"/>
    <col min="12556" max="12556" width="18.140625" style="44" bestFit="1" customWidth="1"/>
    <col min="12557" max="12559" width="8" style="44" customWidth="1"/>
    <col min="12560" max="12561" width="14.5703125" style="44" bestFit="1" customWidth="1"/>
    <col min="12562" max="12800" width="8" style="44"/>
    <col min="12801" max="12802" width="1.5703125" style="44" customWidth="1"/>
    <col min="12803" max="12803" width="41.42578125" style="44" customWidth="1"/>
    <col min="12804" max="12804" width="15" style="44" customWidth="1"/>
    <col min="12805" max="12805" width="0.5703125" style="44" customWidth="1"/>
    <col min="12806" max="12806" width="0.85546875" style="44" customWidth="1"/>
    <col min="12807" max="12807" width="1.42578125" style="44" customWidth="1"/>
    <col min="12808" max="12808" width="51.140625" style="44" bestFit="1" customWidth="1"/>
    <col min="12809" max="12809" width="16.5703125" style="44" bestFit="1" customWidth="1"/>
    <col min="12810" max="12810" width="1.42578125" style="44" customWidth="1"/>
    <col min="12811" max="12811" width="8" style="44" customWidth="1"/>
    <col min="12812" max="12812" width="18.140625" style="44" bestFit="1" customWidth="1"/>
    <col min="12813" max="12815" width="8" style="44" customWidth="1"/>
    <col min="12816" max="12817" width="14.5703125" style="44" bestFit="1" customWidth="1"/>
    <col min="12818" max="13056" width="8" style="44"/>
    <col min="13057" max="13058" width="1.5703125" style="44" customWidth="1"/>
    <col min="13059" max="13059" width="41.42578125" style="44" customWidth="1"/>
    <col min="13060" max="13060" width="15" style="44" customWidth="1"/>
    <col min="13061" max="13061" width="0.5703125" style="44" customWidth="1"/>
    <col min="13062" max="13062" width="0.85546875" style="44" customWidth="1"/>
    <col min="13063" max="13063" width="1.42578125" style="44" customWidth="1"/>
    <col min="13064" max="13064" width="51.140625" style="44" bestFit="1" customWidth="1"/>
    <col min="13065" max="13065" width="16.5703125" style="44" bestFit="1" customWidth="1"/>
    <col min="13066" max="13066" width="1.42578125" style="44" customWidth="1"/>
    <col min="13067" max="13067" width="8" style="44" customWidth="1"/>
    <col min="13068" max="13068" width="18.140625" style="44" bestFit="1" customWidth="1"/>
    <col min="13069" max="13071" width="8" style="44" customWidth="1"/>
    <col min="13072" max="13073" width="14.5703125" style="44" bestFit="1" customWidth="1"/>
    <col min="13074" max="13312" width="8" style="44"/>
    <col min="13313" max="13314" width="1.5703125" style="44" customWidth="1"/>
    <col min="13315" max="13315" width="41.42578125" style="44" customWidth="1"/>
    <col min="13316" max="13316" width="15" style="44" customWidth="1"/>
    <col min="13317" max="13317" width="0.5703125" style="44" customWidth="1"/>
    <col min="13318" max="13318" width="0.85546875" style="44" customWidth="1"/>
    <col min="13319" max="13319" width="1.42578125" style="44" customWidth="1"/>
    <col min="13320" max="13320" width="51.140625" style="44" bestFit="1" customWidth="1"/>
    <col min="13321" max="13321" width="16.5703125" style="44" bestFit="1" customWidth="1"/>
    <col min="13322" max="13322" width="1.42578125" style="44" customWidth="1"/>
    <col min="13323" max="13323" width="8" style="44" customWidth="1"/>
    <col min="13324" max="13324" width="18.140625" style="44" bestFit="1" customWidth="1"/>
    <col min="13325" max="13327" width="8" style="44" customWidth="1"/>
    <col min="13328" max="13329" width="14.5703125" style="44" bestFit="1" customWidth="1"/>
    <col min="13330" max="13568" width="8" style="44"/>
    <col min="13569" max="13570" width="1.5703125" style="44" customWidth="1"/>
    <col min="13571" max="13571" width="41.42578125" style="44" customWidth="1"/>
    <col min="13572" max="13572" width="15" style="44" customWidth="1"/>
    <col min="13573" max="13573" width="0.5703125" style="44" customWidth="1"/>
    <col min="13574" max="13574" width="0.85546875" style="44" customWidth="1"/>
    <col min="13575" max="13575" width="1.42578125" style="44" customWidth="1"/>
    <col min="13576" max="13576" width="51.140625" style="44" bestFit="1" customWidth="1"/>
    <col min="13577" max="13577" width="16.5703125" style="44" bestFit="1" customWidth="1"/>
    <col min="13578" max="13578" width="1.42578125" style="44" customWidth="1"/>
    <col min="13579" max="13579" width="8" style="44" customWidth="1"/>
    <col min="13580" max="13580" width="18.140625" style="44" bestFit="1" customWidth="1"/>
    <col min="13581" max="13583" width="8" style="44" customWidth="1"/>
    <col min="13584" max="13585" width="14.5703125" style="44" bestFit="1" customWidth="1"/>
    <col min="13586" max="13824" width="8" style="44"/>
    <col min="13825" max="13826" width="1.5703125" style="44" customWidth="1"/>
    <col min="13827" max="13827" width="41.42578125" style="44" customWidth="1"/>
    <col min="13828" max="13828" width="15" style="44" customWidth="1"/>
    <col min="13829" max="13829" width="0.5703125" style="44" customWidth="1"/>
    <col min="13830" max="13830" width="0.85546875" style="44" customWidth="1"/>
    <col min="13831" max="13831" width="1.42578125" style="44" customWidth="1"/>
    <col min="13832" max="13832" width="51.140625" style="44" bestFit="1" customWidth="1"/>
    <col min="13833" max="13833" width="16.5703125" style="44" bestFit="1" customWidth="1"/>
    <col min="13834" max="13834" width="1.42578125" style="44" customWidth="1"/>
    <col min="13835" max="13835" width="8" style="44" customWidth="1"/>
    <col min="13836" max="13836" width="18.140625" style="44" bestFit="1" customWidth="1"/>
    <col min="13837" max="13839" width="8" style="44" customWidth="1"/>
    <col min="13840" max="13841" width="14.5703125" style="44" bestFit="1" customWidth="1"/>
    <col min="13842" max="14080" width="8" style="44"/>
    <col min="14081" max="14082" width="1.5703125" style="44" customWidth="1"/>
    <col min="14083" max="14083" width="41.42578125" style="44" customWidth="1"/>
    <col min="14084" max="14084" width="15" style="44" customWidth="1"/>
    <col min="14085" max="14085" width="0.5703125" style="44" customWidth="1"/>
    <col min="14086" max="14086" width="0.85546875" style="44" customWidth="1"/>
    <col min="14087" max="14087" width="1.42578125" style="44" customWidth="1"/>
    <col min="14088" max="14088" width="51.140625" style="44" bestFit="1" customWidth="1"/>
    <col min="14089" max="14089" width="16.5703125" style="44" bestFit="1" customWidth="1"/>
    <col min="14090" max="14090" width="1.42578125" style="44" customWidth="1"/>
    <col min="14091" max="14091" width="8" style="44" customWidth="1"/>
    <col min="14092" max="14092" width="18.140625" style="44" bestFit="1" customWidth="1"/>
    <col min="14093" max="14095" width="8" style="44" customWidth="1"/>
    <col min="14096" max="14097" width="14.5703125" style="44" bestFit="1" customWidth="1"/>
    <col min="14098" max="14336" width="8" style="44"/>
    <col min="14337" max="14338" width="1.5703125" style="44" customWidth="1"/>
    <col min="14339" max="14339" width="41.42578125" style="44" customWidth="1"/>
    <col min="14340" max="14340" width="15" style="44" customWidth="1"/>
    <col min="14341" max="14341" width="0.5703125" style="44" customWidth="1"/>
    <col min="14342" max="14342" width="0.85546875" style="44" customWidth="1"/>
    <col min="14343" max="14343" width="1.42578125" style="44" customWidth="1"/>
    <col min="14344" max="14344" width="51.140625" style="44" bestFit="1" customWidth="1"/>
    <col min="14345" max="14345" width="16.5703125" style="44" bestFit="1" customWidth="1"/>
    <col min="14346" max="14346" width="1.42578125" style="44" customWidth="1"/>
    <col min="14347" max="14347" width="8" style="44" customWidth="1"/>
    <col min="14348" max="14348" width="18.140625" style="44" bestFit="1" customWidth="1"/>
    <col min="14349" max="14351" width="8" style="44" customWidth="1"/>
    <col min="14352" max="14353" width="14.5703125" style="44" bestFit="1" customWidth="1"/>
    <col min="14354" max="14592" width="8" style="44"/>
    <col min="14593" max="14594" width="1.5703125" style="44" customWidth="1"/>
    <col min="14595" max="14595" width="41.42578125" style="44" customWidth="1"/>
    <col min="14596" max="14596" width="15" style="44" customWidth="1"/>
    <col min="14597" max="14597" width="0.5703125" style="44" customWidth="1"/>
    <col min="14598" max="14598" width="0.85546875" style="44" customWidth="1"/>
    <col min="14599" max="14599" width="1.42578125" style="44" customWidth="1"/>
    <col min="14600" max="14600" width="51.140625" style="44" bestFit="1" customWidth="1"/>
    <col min="14601" max="14601" width="16.5703125" style="44" bestFit="1" customWidth="1"/>
    <col min="14602" max="14602" width="1.42578125" style="44" customWidth="1"/>
    <col min="14603" max="14603" width="8" style="44" customWidth="1"/>
    <col min="14604" max="14604" width="18.140625" style="44" bestFit="1" customWidth="1"/>
    <col min="14605" max="14607" width="8" style="44" customWidth="1"/>
    <col min="14608" max="14609" width="14.5703125" style="44" bestFit="1" customWidth="1"/>
    <col min="14610" max="14848" width="8" style="44"/>
    <col min="14849" max="14850" width="1.5703125" style="44" customWidth="1"/>
    <col min="14851" max="14851" width="41.42578125" style="44" customWidth="1"/>
    <col min="14852" max="14852" width="15" style="44" customWidth="1"/>
    <col min="14853" max="14853" width="0.5703125" style="44" customWidth="1"/>
    <col min="14854" max="14854" width="0.85546875" style="44" customWidth="1"/>
    <col min="14855" max="14855" width="1.42578125" style="44" customWidth="1"/>
    <col min="14856" max="14856" width="51.140625" style="44" bestFit="1" customWidth="1"/>
    <col min="14857" max="14857" width="16.5703125" style="44" bestFit="1" customWidth="1"/>
    <col min="14858" max="14858" width="1.42578125" style="44" customWidth="1"/>
    <col min="14859" max="14859" width="8" style="44" customWidth="1"/>
    <col min="14860" max="14860" width="18.140625" style="44" bestFit="1" customWidth="1"/>
    <col min="14861" max="14863" width="8" style="44" customWidth="1"/>
    <col min="14864" max="14865" width="14.5703125" style="44" bestFit="1" customWidth="1"/>
    <col min="14866" max="15104" width="8" style="44"/>
    <col min="15105" max="15106" width="1.5703125" style="44" customWidth="1"/>
    <col min="15107" max="15107" width="41.42578125" style="44" customWidth="1"/>
    <col min="15108" max="15108" width="15" style="44" customWidth="1"/>
    <col min="15109" max="15109" width="0.5703125" style="44" customWidth="1"/>
    <col min="15110" max="15110" width="0.85546875" style="44" customWidth="1"/>
    <col min="15111" max="15111" width="1.42578125" style="44" customWidth="1"/>
    <col min="15112" max="15112" width="51.140625" style="44" bestFit="1" customWidth="1"/>
    <col min="15113" max="15113" width="16.5703125" style="44" bestFit="1" customWidth="1"/>
    <col min="15114" max="15114" width="1.42578125" style="44" customWidth="1"/>
    <col min="15115" max="15115" width="8" style="44" customWidth="1"/>
    <col min="15116" max="15116" width="18.140625" style="44" bestFit="1" customWidth="1"/>
    <col min="15117" max="15119" width="8" style="44" customWidth="1"/>
    <col min="15120" max="15121" width="14.5703125" style="44" bestFit="1" customWidth="1"/>
    <col min="15122" max="15360" width="8" style="44"/>
    <col min="15361" max="15362" width="1.5703125" style="44" customWidth="1"/>
    <col min="15363" max="15363" width="41.42578125" style="44" customWidth="1"/>
    <col min="15364" max="15364" width="15" style="44" customWidth="1"/>
    <col min="15365" max="15365" width="0.5703125" style="44" customWidth="1"/>
    <col min="15366" max="15366" width="0.85546875" style="44" customWidth="1"/>
    <col min="15367" max="15367" width="1.42578125" style="44" customWidth="1"/>
    <col min="15368" max="15368" width="51.140625" style="44" bestFit="1" customWidth="1"/>
    <col min="15369" max="15369" width="16.5703125" style="44" bestFit="1" customWidth="1"/>
    <col min="15370" max="15370" width="1.42578125" style="44" customWidth="1"/>
    <col min="15371" max="15371" width="8" style="44" customWidth="1"/>
    <col min="15372" max="15372" width="18.140625" style="44" bestFit="1" customWidth="1"/>
    <col min="15373" max="15375" width="8" style="44" customWidth="1"/>
    <col min="15376" max="15377" width="14.5703125" style="44" bestFit="1" customWidth="1"/>
    <col min="15378" max="15616" width="8" style="44"/>
    <col min="15617" max="15618" width="1.5703125" style="44" customWidth="1"/>
    <col min="15619" max="15619" width="41.42578125" style="44" customWidth="1"/>
    <col min="15620" max="15620" width="15" style="44" customWidth="1"/>
    <col min="15621" max="15621" width="0.5703125" style="44" customWidth="1"/>
    <col min="15622" max="15622" width="0.85546875" style="44" customWidth="1"/>
    <col min="15623" max="15623" width="1.42578125" style="44" customWidth="1"/>
    <col min="15624" max="15624" width="51.140625" style="44" bestFit="1" customWidth="1"/>
    <col min="15625" max="15625" width="16.5703125" style="44" bestFit="1" customWidth="1"/>
    <col min="15626" max="15626" width="1.42578125" style="44" customWidth="1"/>
    <col min="15627" max="15627" width="8" style="44" customWidth="1"/>
    <col min="15628" max="15628" width="18.140625" style="44" bestFit="1" customWidth="1"/>
    <col min="15629" max="15631" width="8" style="44" customWidth="1"/>
    <col min="15632" max="15633" width="14.5703125" style="44" bestFit="1" customWidth="1"/>
    <col min="15634" max="15872" width="8" style="44"/>
    <col min="15873" max="15874" width="1.5703125" style="44" customWidth="1"/>
    <col min="15875" max="15875" width="41.42578125" style="44" customWidth="1"/>
    <col min="15876" max="15876" width="15" style="44" customWidth="1"/>
    <col min="15877" max="15877" width="0.5703125" style="44" customWidth="1"/>
    <col min="15878" max="15878" width="0.85546875" style="44" customWidth="1"/>
    <col min="15879" max="15879" width="1.42578125" style="44" customWidth="1"/>
    <col min="15880" max="15880" width="51.140625" style="44" bestFit="1" customWidth="1"/>
    <col min="15881" max="15881" width="16.5703125" style="44" bestFit="1" customWidth="1"/>
    <col min="15882" max="15882" width="1.42578125" style="44" customWidth="1"/>
    <col min="15883" max="15883" width="8" style="44" customWidth="1"/>
    <col min="15884" max="15884" width="18.140625" style="44" bestFit="1" customWidth="1"/>
    <col min="15885" max="15887" width="8" style="44" customWidth="1"/>
    <col min="15888" max="15889" width="14.5703125" style="44" bestFit="1" customWidth="1"/>
    <col min="15890" max="16128" width="8" style="44"/>
    <col min="16129" max="16130" width="1.5703125" style="44" customWidth="1"/>
    <col min="16131" max="16131" width="41.42578125" style="44" customWidth="1"/>
    <col min="16132" max="16132" width="15" style="44" customWidth="1"/>
    <col min="16133" max="16133" width="0.5703125" style="44" customWidth="1"/>
    <col min="16134" max="16134" width="0.85546875" style="44" customWidth="1"/>
    <col min="16135" max="16135" width="1.42578125" style="44" customWidth="1"/>
    <col min="16136" max="16136" width="51.140625" style="44" bestFit="1" customWidth="1"/>
    <col min="16137" max="16137" width="16.5703125" style="44" bestFit="1" customWidth="1"/>
    <col min="16138" max="16138" width="1.42578125" style="44" customWidth="1"/>
    <col min="16139" max="16139" width="8" style="44" customWidth="1"/>
    <col min="16140" max="16140" width="18.140625" style="44" bestFit="1" customWidth="1"/>
    <col min="16141" max="16143" width="8" style="44" customWidth="1"/>
    <col min="16144" max="16145" width="14.5703125" style="44" bestFit="1" customWidth="1"/>
    <col min="16146" max="16384" width="8" style="44"/>
  </cols>
  <sheetData>
    <row r="1" spans="1:12" s="28" customFormat="1" ht="13.5" thickBot="1">
      <c r="A1" s="25"/>
      <c r="B1" s="541" t="s">
        <v>541</v>
      </c>
      <c r="C1" s="542"/>
      <c r="D1" s="542"/>
      <c r="E1" s="542"/>
      <c r="F1" s="542"/>
      <c r="G1" s="542"/>
      <c r="H1" s="542"/>
      <c r="I1" s="542"/>
      <c r="J1" s="26"/>
      <c r="K1" s="27"/>
    </row>
    <row r="2" spans="1:12" s="28" customFormat="1" ht="13.5" thickTop="1">
      <c r="A2" s="29"/>
      <c r="B2" s="543" t="s">
        <v>377</v>
      </c>
      <c r="C2" s="543"/>
      <c r="D2" s="543"/>
      <c r="E2" s="543"/>
      <c r="F2" s="543"/>
      <c r="G2" s="543"/>
      <c r="H2" s="543"/>
      <c r="I2" s="543"/>
      <c r="J2" s="30"/>
      <c r="K2" s="27"/>
    </row>
    <row r="3" spans="1:12" s="28" customFormat="1">
      <c r="A3" s="31"/>
      <c r="B3" s="544" t="s">
        <v>542</v>
      </c>
      <c r="C3" s="544"/>
      <c r="D3" s="544"/>
      <c r="E3" s="544"/>
      <c r="F3" s="544"/>
      <c r="G3" s="544"/>
      <c r="H3" s="544"/>
      <c r="I3" s="544"/>
      <c r="J3" s="32"/>
      <c r="K3" s="27"/>
    </row>
    <row r="4" spans="1:12" s="28" customFormat="1">
      <c r="A4" s="31"/>
      <c r="B4" s="545" t="s">
        <v>378</v>
      </c>
      <c r="C4" s="545"/>
      <c r="D4" s="545"/>
      <c r="E4" s="545"/>
      <c r="F4" s="545"/>
      <c r="G4" s="545"/>
      <c r="H4" s="545"/>
      <c r="I4" s="545"/>
      <c r="J4" s="32"/>
      <c r="K4" s="27"/>
    </row>
    <row r="5" spans="1:12" s="28" customFormat="1">
      <c r="A5" s="31"/>
      <c r="B5" s="309"/>
      <c r="C5" s="309"/>
      <c r="D5" s="309"/>
      <c r="E5" s="309"/>
      <c r="F5" s="309"/>
      <c r="G5" s="309"/>
      <c r="H5" s="309"/>
      <c r="I5" s="309"/>
      <c r="J5" s="32"/>
      <c r="K5" s="27"/>
    </row>
    <row r="6" spans="1:12" s="36" customFormat="1">
      <c r="A6" s="33"/>
      <c r="B6" s="537" t="s">
        <v>562</v>
      </c>
      <c r="C6" s="537"/>
      <c r="D6" s="537"/>
      <c r="E6" s="537"/>
      <c r="F6" s="537"/>
      <c r="G6" s="537"/>
      <c r="H6" s="537"/>
      <c r="I6" s="537"/>
      <c r="J6" s="34"/>
      <c r="K6" s="35"/>
    </row>
    <row r="7" spans="1:12" s="36" customFormat="1">
      <c r="A7" s="536" t="s">
        <v>564</v>
      </c>
      <c r="B7" s="537"/>
      <c r="C7" s="537"/>
      <c r="D7" s="537"/>
      <c r="E7" s="537"/>
      <c r="F7" s="35"/>
      <c r="G7" s="537" t="s">
        <v>563</v>
      </c>
      <c r="H7" s="537"/>
      <c r="I7" s="537"/>
      <c r="J7" s="538"/>
      <c r="K7" s="35"/>
    </row>
    <row r="8" spans="1:12">
      <c r="A8" s="37"/>
      <c r="B8" s="38"/>
      <c r="C8" s="38"/>
      <c r="D8" s="284" t="s">
        <v>379</v>
      </c>
      <c r="E8" s="39"/>
      <c r="F8" s="40"/>
      <c r="G8" s="41"/>
      <c r="H8" s="291"/>
      <c r="I8" s="273" t="s">
        <v>379</v>
      </c>
      <c r="J8" s="68"/>
      <c r="K8" s="43"/>
    </row>
    <row r="9" spans="1:12">
      <c r="A9" s="45"/>
      <c r="B9" s="46"/>
      <c r="C9" s="43"/>
      <c r="D9" s="285" t="s">
        <v>532</v>
      </c>
      <c r="E9" s="47"/>
      <c r="F9" s="40"/>
      <c r="G9" s="48"/>
      <c r="H9" s="292"/>
      <c r="I9" s="274" t="s">
        <v>532</v>
      </c>
      <c r="J9" s="42"/>
      <c r="K9" s="43"/>
    </row>
    <row r="10" spans="1:12">
      <c r="A10" s="45" t="s">
        <v>8</v>
      </c>
      <c r="B10" s="46" t="s">
        <v>364</v>
      </c>
      <c r="C10" s="144" t="s">
        <v>9</v>
      </c>
      <c r="D10" s="286"/>
      <c r="E10" s="49"/>
      <c r="F10" s="43"/>
      <c r="G10" s="45"/>
      <c r="H10" s="298" t="s">
        <v>565</v>
      </c>
      <c r="I10" s="275"/>
      <c r="J10" s="50"/>
      <c r="K10" s="43"/>
    </row>
    <row r="11" spans="1:12">
      <c r="A11" s="45"/>
      <c r="B11" s="46"/>
      <c r="C11" s="43"/>
      <c r="D11" s="286"/>
      <c r="E11" s="49"/>
      <c r="F11" s="43"/>
      <c r="G11" s="45"/>
      <c r="H11" s="60"/>
      <c r="I11" s="275"/>
      <c r="J11" s="50"/>
      <c r="K11" s="43"/>
    </row>
    <row r="12" spans="1:12" s="54" customFormat="1">
      <c r="A12" s="143"/>
      <c r="B12" s="52" t="s">
        <v>380</v>
      </c>
      <c r="C12" s="207" t="s">
        <v>380</v>
      </c>
      <c r="D12" s="423">
        <f>'STATEMENT 1'!G15</f>
        <v>47200478898.809998</v>
      </c>
      <c r="E12" s="53"/>
      <c r="F12" s="52"/>
      <c r="G12" s="51"/>
      <c r="H12" s="293" t="s">
        <v>381</v>
      </c>
      <c r="I12" s="438">
        <v>368189000</v>
      </c>
      <c r="J12" s="53"/>
      <c r="K12" s="52"/>
    </row>
    <row r="13" spans="1:12">
      <c r="A13" s="45"/>
      <c r="B13" s="43" t="s">
        <v>344</v>
      </c>
      <c r="C13" s="207" t="s">
        <v>384</v>
      </c>
      <c r="D13" s="423">
        <f>'STATEMENT 1'!G16</f>
        <v>166511866961.87997</v>
      </c>
      <c r="E13" s="50"/>
      <c r="F13" s="43"/>
      <c r="G13" s="45"/>
      <c r="H13" s="294" t="s">
        <v>382</v>
      </c>
      <c r="I13" s="438">
        <v>1293275000</v>
      </c>
      <c r="J13" s="50"/>
      <c r="K13" s="43"/>
      <c r="L13" s="54"/>
    </row>
    <row r="14" spans="1:12">
      <c r="A14" s="45"/>
      <c r="B14" s="43" t="s">
        <v>345</v>
      </c>
      <c r="C14" s="207" t="s">
        <v>245</v>
      </c>
      <c r="D14" s="423">
        <f>'STATEMENT 1'!G17</f>
        <v>7453051806.3899994</v>
      </c>
      <c r="E14" s="50"/>
      <c r="F14" s="43"/>
      <c r="G14" s="45"/>
      <c r="H14" s="294" t="s">
        <v>383</v>
      </c>
      <c r="I14" s="438">
        <v>157771000</v>
      </c>
      <c r="J14" s="50"/>
      <c r="K14" s="43"/>
      <c r="L14" s="54"/>
    </row>
    <row r="15" spans="1:12">
      <c r="A15" s="45"/>
      <c r="B15" s="43" t="s">
        <v>384</v>
      </c>
      <c r="C15" s="207" t="s">
        <v>429</v>
      </c>
      <c r="D15" s="423">
        <f>'STATEMENT 1'!G18</f>
        <v>4745650759.6800003</v>
      </c>
      <c r="E15" s="50"/>
      <c r="F15" s="43"/>
      <c r="G15" s="45"/>
      <c r="H15" s="294" t="s">
        <v>385</v>
      </c>
      <c r="I15" s="438">
        <v>938587000</v>
      </c>
      <c r="J15" s="50"/>
      <c r="K15" s="43"/>
      <c r="L15" s="54"/>
    </row>
    <row r="16" spans="1:12">
      <c r="A16" s="45"/>
      <c r="B16" s="43" t="s">
        <v>18</v>
      </c>
      <c r="C16" s="207" t="s">
        <v>247</v>
      </c>
      <c r="D16" s="423">
        <f>'STATEMENT 1'!G19</f>
        <v>610748119.03000021</v>
      </c>
      <c r="E16" s="50"/>
      <c r="F16" s="43"/>
      <c r="G16" s="45"/>
      <c r="H16" s="294" t="s">
        <v>386</v>
      </c>
      <c r="I16" s="438">
        <v>371134000</v>
      </c>
      <c r="J16" s="50"/>
      <c r="K16" s="43"/>
      <c r="L16" s="54"/>
    </row>
    <row r="17" spans="1:12">
      <c r="A17" s="45"/>
      <c r="B17" s="43" t="s">
        <v>245</v>
      </c>
      <c r="C17" s="207" t="s">
        <v>248</v>
      </c>
      <c r="D17" s="423">
        <f>'STATEMENT 1'!G20</f>
        <v>4880720000.4499998</v>
      </c>
      <c r="E17" s="50"/>
      <c r="F17" s="43"/>
      <c r="G17" s="45"/>
      <c r="H17" s="295" t="s">
        <v>388</v>
      </c>
      <c r="I17" s="438">
        <v>202377000</v>
      </c>
      <c r="J17" s="50"/>
      <c r="K17" s="43"/>
      <c r="L17" s="54"/>
    </row>
    <row r="18" spans="1:12">
      <c r="A18" s="45"/>
      <c r="B18" s="43" t="s">
        <v>387</v>
      </c>
      <c r="C18" s="207" t="s">
        <v>249</v>
      </c>
      <c r="D18" s="423">
        <f>'STATEMENT 1'!G21</f>
        <v>7333722323.3999996</v>
      </c>
      <c r="E18" s="50"/>
      <c r="F18" s="43"/>
      <c r="G18" s="45"/>
      <c r="H18" s="295" t="s">
        <v>389</v>
      </c>
      <c r="I18" s="438">
        <v>691288000</v>
      </c>
      <c r="J18" s="50"/>
      <c r="K18" s="43"/>
      <c r="L18" s="54"/>
    </row>
    <row r="19" spans="1:12">
      <c r="A19" s="45"/>
      <c r="B19" s="43" t="s">
        <v>247</v>
      </c>
      <c r="C19" s="207" t="s">
        <v>250</v>
      </c>
      <c r="D19" s="423">
        <f>'STATEMENT 1'!G22</f>
        <v>34219754197.540001</v>
      </c>
      <c r="E19" s="50"/>
      <c r="F19" s="43"/>
      <c r="G19" s="45"/>
      <c r="H19" s="294" t="s">
        <v>572</v>
      </c>
      <c r="I19" s="438">
        <v>923650000</v>
      </c>
      <c r="J19" s="50"/>
      <c r="K19" s="43"/>
      <c r="L19" s="54"/>
    </row>
    <row r="20" spans="1:12">
      <c r="A20" s="45"/>
      <c r="B20" s="43" t="s">
        <v>248</v>
      </c>
      <c r="C20" s="207" t="s">
        <v>254</v>
      </c>
      <c r="D20" s="423">
        <f>'STATEMENT 1'!G23</f>
        <v>2119444443.3199999</v>
      </c>
      <c r="E20" s="50"/>
      <c r="F20" s="43"/>
      <c r="G20" s="45"/>
      <c r="H20" s="294" t="s">
        <v>390</v>
      </c>
      <c r="I20" s="438">
        <v>8150130000</v>
      </c>
      <c r="J20" s="50"/>
      <c r="K20" s="43"/>
      <c r="L20" s="54"/>
    </row>
    <row r="21" spans="1:12">
      <c r="A21" s="45"/>
      <c r="B21" s="43" t="s">
        <v>391</v>
      </c>
      <c r="C21" s="207" t="s">
        <v>344</v>
      </c>
      <c r="D21" s="423">
        <f>'STATEMENT 1'!G24</f>
        <v>203317336613.88</v>
      </c>
      <c r="E21" s="50"/>
      <c r="F21" s="43"/>
      <c r="G21" s="45"/>
      <c r="H21" s="296" t="s">
        <v>392</v>
      </c>
      <c r="I21" s="438">
        <v>1041675000</v>
      </c>
      <c r="J21" s="50"/>
      <c r="K21" s="43"/>
      <c r="L21" s="54"/>
    </row>
    <row r="22" spans="1:12">
      <c r="A22" s="45"/>
      <c r="B22" s="43" t="s">
        <v>250</v>
      </c>
      <c r="C22" s="207" t="s">
        <v>345</v>
      </c>
      <c r="D22" s="423">
        <f>'STATEMENT 1'!G25</f>
        <v>83987786400</v>
      </c>
      <c r="E22" s="50"/>
      <c r="F22" s="43"/>
      <c r="G22" s="45"/>
      <c r="H22" s="295" t="s">
        <v>573</v>
      </c>
      <c r="I22" s="438">
        <v>10971360000</v>
      </c>
      <c r="J22" s="50"/>
      <c r="K22" s="43"/>
      <c r="L22" s="54"/>
    </row>
    <row r="23" spans="1:12">
      <c r="A23" s="45"/>
      <c r="B23" s="43" t="s">
        <v>254</v>
      </c>
      <c r="C23" s="207" t="s">
        <v>346</v>
      </c>
      <c r="D23" s="423">
        <f>'STATEMENT 1'!G26</f>
        <v>4214401525.4300003</v>
      </c>
      <c r="E23" s="50"/>
      <c r="F23" s="43"/>
      <c r="G23" s="45"/>
      <c r="H23" s="296" t="s">
        <v>586</v>
      </c>
      <c r="I23" s="438">
        <v>15229210000</v>
      </c>
      <c r="J23" s="50"/>
      <c r="K23" s="43"/>
      <c r="L23" s="54"/>
    </row>
    <row r="24" spans="1:12">
      <c r="A24" s="45"/>
      <c r="B24" s="43" t="s">
        <v>346</v>
      </c>
      <c r="C24" s="207" t="s">
        <v>251</v>
      </c>
      <c r="D24" s="423">
        <f>'STATEMENT 1'!G27</f>
        <v>3354650876</v>
      </c>
      <c r="E24" s="50"/>
      <c r="F24" s="43"/>
      <c r="G24" s="45"/>
      <c r="H24" s="296" t="s">
        <v>574</v>
      </c>
      <c r="I24" s="438">
        <v>388932737000</v>
      </c>
      <c r="J24" s="50"/>
      <c r="K24" s="43"/>
      <c r="L24" s="54"/>
    </row>
    <row r="25" spans="1:12" ht="25.5">
      <c r="A25" s="45"/>
      <c r="B25" s="43" t="s">
        <v>251</v>
      </c>
      <c r="C25" s="207" t="s">
        <v>352</v>
      </c>
      <c r="D25" s="423">
        <f>'STATEMENT 1'!G28</f>
        <v>645600000</v>
      </c>
      <c r="E25" s="57"/>
      <c r="F25" s="56"/>
      <c r="G25" s="58"/>
      <c r="H25" s="341" t="s">
        <v>587</v>
      </c>
      <c r="I25" s="438">
        <v>2988890000</v>
      </c>
      <c r="J25" s="50"/>
      <c r="K25" s="43"/>
      <c r="L25" s="54"/>
    </row>
    <row r="26" spans="1:12">
      <c r="A26" s="45"/>
      <c r="B26" s="46" t="s">
        <v>395</v>
      </c>
      <c r="C26" s="207" t="s">
        <v>18</v>
      </c>
      <c r="D26" s="423">
        <f>'STATEMENT 1'!G29</f>
        <v>0</v>
      </c>
      <c r="E26" s="59"/>
      <c r="F26" s="46"/>
      <c r="G26" s="60"/>
      <c r="H26" s="297" t="s">
        <v>393</v>
      </c>
      <c r="I26" s="438">
        <v>84378117000</v>
      </c>
      <c r="J26" s="50"/>
      <c r="K26" s="43"/>
      <c r="L26" s="54"/>
    </row>
    <row r="27" spans="1:12">
      <c r="A27" s="45"/>
      <c r="B27" s="46"/>
      <c r="C27" s="207" t="s">
        <v>121</v>
      </c>
      <c r="D27" s="423">
        <f>'STATEMENT 1'!G30</f>
        <v>84185845.890000001</v>
      </c>
      <c r="E27" s="59"/>
      <c r="F27" s="46"/>
      <c r="G27" s="60"/>
      <c r="H27" s="296" t="s">
        <v>394</v>
      </c>
      <c r="I27" s="438">
        <v>9508744000</v>
      </c>
      <c r="J27" s="50"/>
      <c r="K27" s="43"/>
      <c r="L27" s="54"/>
    </row>
    <row r="28" spans="1:12">
      <c r="A28" s="45"/>
      <c r="B28" s="46"/>
      <c r="C28" s="207" t="s">
        <v>252</v>
      </c>
      <c r="D28" s="423">
        <f>'STATEMENT 1'!G31</f>
        <v>304929988</v>
      </c>
      <c r="E28" s="59"/>
      <c r="F28" s="46"/>
      <c r="G28" s="60"/>
      <c r="H28" s="296" t="s">
        <v>396</v>
      </c>
      <c r="I28" s="438">
        <v>4595380000</v>
      </c>
      <c r="J28" s="50"/>
      <c r="K28" s="43"/>
      <c r="L28" s="54"/>
    </row>
    <row r="29" spans="1:12">
      <c r="A29" s="45"/>
      <c r="B29" s="46"/>
      <c r="C29" s="207" t="s">
        <v>253</v>
      </c>
      <c r="D29" s="423">
        <f>'STATEMENT 1'!G32</f>
        <v>1476960000</v>
      </c>
      <c r="E29" s="59"/>
      <c r="F29" s="46"/>
      <c r="G29" s="60"/>
      <c r="H29" s="297" t="s">
        <v>397</v>
      </c>
      <c r="I29" s="438">
        <v>13652216000</v>
      </c>
      <c r="J29" s="50"/>
      <c r="K29" s="43"/>
      <c r="L29" s="54"/>
    </row>
    <row r="30" spans="1:12">
      <c r="A30" s="45"/>
      <c r="B30" s="46"/>
      <c r="C30" s="207"/>
      <c r="D30" s="423"/>
      <c r="E30" s="59"/>
      <c r="F30" s="46"/>
      <c r="G30" s="60"/>
      <c r="H30" s="297" t="s">
        <v>571</v>
      </c>
      <c r="I30" s="438">
        <v>117794351000</v>
      </c>
      <c r="J30" s="50"/>
      <c r="K30" s="43"/>
      <c r="L30" s="54"/>
    </row>
    <row r="31" spans="1:12">
      <c r="A31" s="45"/>
      <c r="B31" s="46"/>
      <c r="C31" s="206" t="s">
        <v>19</v>
      </c>
      <c r="D31" s="424">
        <f>SUM(D12:D29)</f>
        <v>572461288759.69995</v>
      </c>
      <c r="E31" s="59"/>
      <c r="F31" s="46"/>
      <c r="G31" s="60"/>
      <c r="H31" s="296" t="s">
        <v>570</v>
      </c>
      <c r="I31" s="438">
        <v>87124354000</v>
      </c>
      <c r="J31" s="50"/>
      <c r="K31" s="43"/>
      <c r="L31" s="54"/>
    </row>
    <row r="32" spans="1:12">
      <c r="A32" s="45"/>
      <c r="B32" s="46"/>
      <c r="C32" s="43"/>
      <c r="D32" s="424"/>
      <c r="E32" s="59"/>
      <c r="F32" s="46"/>
      <c r="G32" s="60"/>
      <c r="H32" s="297" t="s">
        <v>575</v>
      </c>
      <c r="I32" s="438">
        <v>3929343000</v>
      </c>
      <c r="J32" s="50"/>
      <c r="K32" s="43"/>
      <c r="L32" s="54"/>
    </row>
    <row r="33" spans="1:12">
      <c r="A33" s="45"/>
      <c r="B33" s="46"/>
      <c r="C33" s="43"/>
      <c r="D33" s="425"/>
      <c r="E33" s="59"/>
      <c r="F33" s="46"/>
      <c r="G33" s="60"/>
      <c r="H33" s="294" t="s">
        <v>398</v>
      </c>
      <c r="I33" s="438">
        <v>9652912000</v>
      </c>
      <c r="J33" s="50"/>
      <c r="K33" s="43"/>
      <c r="L33" s="54"/>
    </row>
    <row r="34" spans="1:12" ht="15">
      <c r="A34" s="60"/>
      <c r="B34" s="46"/>
      <c r="C34" s="121" t="s">
        <v>373</v>
      </c>
      <c r="D34" s="424">
        <f>'STATEMENT 1'!G36</f>
        <v>94185200000.422226</v>
      </c>
      <c r="E34" s="59"/>
      <c r="F34" s="46"/>
      <c r="G34" s="60"/>
      <c r="H34" s="294" t="s">
        <v>399</v>
      </c>
      <c r="I34" s="438">
        <v>4165785000</v>
      </c>
      <c r="J34" s="50"/>
      <c r="K34" s="43"/>
      <c r="L34" s="54"/>
    </row>
    <row r="35" spans="1:12">
      <c r="A35" s="45"/>
      <c r="B35" s="46"/>
      <c r="C35" s="43"/>
      <c r="D35" s="425"/>
      <c r="E35" s="59"/>
      <c r="F35" s="46"/>
      <c r="G35" s="60"/>
      <c r="H35" s="294" t="s">
        <v>576</v>
      </c>
      <c r="I35" s="438">
        <v>9742418000</v>
      </c>
      <c r="J35" s="50"/>
      <c r="K35" s="43"/>
      <c r="L35" s="54"/>
    </row>
    <row r="36" spans="1:12">
      <c r="A36" s="45"/>
      <c r="B36" s="46"/>
      <c r="C36" s="46" t="s">
        <v>471</v>
      </c>
      <c r="D36" s="424">
        <f>D34</f>
        <v>94185200000.422226</v>
      </c>
      <c r="E36" s="59"/>
      <c r="F36" s="46"/>
      <c r="G36" s="60"/>
      <c r="H36" s="294" t="s">
        <v>588</v>
      </c>
      <c r="I36" s="438">
        <v>11934479000</v>
      </c>
      <c r="J36" s="50"/>
      <c r="K36" s="43"/>
      <c r="L36" s="54"/>
    </row>
    <row r="37" spans="1:12">
      <c r="A37" s="45"/>
      <c r="B37" s="46"/>
      <c r="C37" s="46"/>
      <c r="D37" s="424"/>
      <c r="E37" s="59"/>
      <c r="F37" s="46"/>
      <c r="G37" s="60"/>
      <c r="H37" s="296" t="s">
        <v>569</v>
      </c>
      <c r="I37" s="438">
        <v>17372589000</v>
      </c>
      <c r="J37" s="50"/>
      <c r="K37" s="43"/>
      <c r="L37" s="54"/>
    </row>
    <row r="38" spans="1:12">
      <c r="A38" s="45"/>
      <c r="B38" s="46"/>
      <c r="C38" s="43"/>
      <c r="D38" s="425"/>
      <c r="E38" s="59"/>
      <c r="F38" s="46"/>
      <c r="G38" s="60"/>
      <c r="H38" s="69"/>
      <c r="I38" s="277"/>
      <c r="J38" s="50"/>
      <c r="K38" s="43"/>
    </row>
    <row r="39" spans="1:12">
      <c r="A39" s="60"/>
      <c r="B39" s="46"/>
      <c r="C39" s="46" t="s">
        <v>154</v>
      </c>
      <c r="D39" s="424">
        <f>'STATEMENT 1'!G53</f>
        <v>148700000</v>
      </c>
      <c r="E39" s="59"/>
      <c r="F39" s="46"/>
      <c r="G39" s="60"/>
      <c r="H39" s="298" t="s">
        <v>589</v>
      </c>
      <c r="I39" s="157">
        <f>SUM(I12:I37)</f>
        <v>806110961000</v>
      </c>
      <c r="J39" s="50"/>
      <c r="K39" s="43"/>
    </row>
    <row r="40" spans="1:12">
      <c r="A40" s="60"/>
      <c r="B40" s="46"/>
      <c r="C40" s="43"/>
      <c r="D40" s="425"/>
      <c r="E40" s="59"/>
      <c r="F40" s="46"/>
      <c r="G40" s="60"/>
      <c r="H40" s="294"/>
      <c r="I40" s="436"/>
      <c r="J40" s="50"/>
      <c r="K40" s="43"/>
    </row>
    <row r="41" spans="1:12">
      <c r="A41" s="60"/>
      <c r="B41" s="46"/>
      <c r="C41" s="43"/>
      <c r="D41" s="424"/>
      <c r="E41" s="59"/>
      <c r="F41" s="46"/>
      <c r="G41" s="60"/>
      <c r="H41" s="294" t="s">
        <v>401</v>
      </c>
      <c r="I41" s="436">
        <v>29531392000</v>
      </c>
      <c r="J41" s="50"/>
      <c r="K41" s="43"/>
    </row>
    <row r="42" spans="1:12">
      <c r="A42" s="60"/>
      <c r="B42" s="46"/>
      <c r="C42" s="43"/>
      <c r="D42" s="287"/>
      <c r="E42" s="59"/>
      <c r="F42" s="46"/>
      <c r="G42" s="60"/>
      <c r="H42" s="69"/>
      <c r="I42" s="277"/>
      <c r="J42" s="50"/>
      <c r="K42" s="43"/>
    </row>
    <row r="43" spans="1:12">
      <c r="A43" s="60"/>
      <c r="B43" s="46" t="s">
        <v>400</v>
      </c>
      <c r="C43" s="43"/>
      <c r="D43" s="287"/>
      <c r="E43" s="59"/>
      <c r="F43" s="46"/>
      <c r="G43" s="60"/>
      <c r="H43" s="45"/>
      <c r="I43" s="277"/>
      <c r="J43" s="50"/>
      <c r="K43" s="43"/>
    </row>
    <row r="44" spans="1:12">
      <c r="A44" s="45"/>
      <c r="B44" s="43"/>
      <c r="C44" s="43"/>
      <c r="D44" s="288"/>
      <c r="E44" s="50"/>
      <c r="F44" s="43"/>
      <c r="G44" s="45"/>
      <c r="H44" s="45"/>
      <c r="I44" s="280"/>
      <c r="J44" s="50"/>
      <c r="K44" s="43"/>
    </row>
    <row r="45" spans="1:12">
      <c r="A45" s="45"/>
      <c r="B45" s="43"/>
      <c r="C45" s="43"/>
      <c r="D45" s="288"/>
      <c r="E45" s="50"/>
      <c r="F45" s="43"/>
      <c r="G45" s="45"/>
      <c r="H45" s="45"/>
      <c r="I45" s="280"/>
      <c r="J45" s="50"/>
      <c r="K45" s="43"/>
    </row>
    <row r="46" spans="1:12" ht="13.5" thickBot="1">
      <c r="A46" s="45"/>
      <c r="B46" s="46" t="s">
        <v>402</v>
      </c>
      <c r="C46" s="46" t="s">
        <v>433</v>
      </c>
      <c r="D46" s="289">
        <f>D31+D34+D39</f>
        <v>666795188760.12219</v>
      </c>
      <c r="E46" s="50"/>
      <c r="F46" s="43"/>
      <c r="G46" s="45"/>
      <c r="H46" s="298" t="s">
        <v>567</v>
      </c>
      <c r="I46" s="434">
        <f>+I39-I41</f>
        <v>776579569000</v>
      </c>
      <c r="J46" s="50"/>
      <c r="K46" s="43"/>
    </row>
    <row r="47" spans="1:12" ht="13.5" thickTop="1">
      <c r="A47" s="62"/>
      <c r="B47" s="63"/>
      <c r="C47" s="64"/>
      <c r="D47" s="290"/>
      <c r="E47" s="65"/>
      <c r="F47" s="46"/>
      <c r="G47" s="66"/>
      <c r="H47" s="66"/>
      <c r="I47" s="279"/>
      <c r="J47" s="67"/>
      <c r="K47" s="43"/>
    </row>
    <row r="48" spans="1:12" s="61" customFormat="1">
      <c r="A48" s="533" t="s">
        <v>568</v>
      </c>
      <c r="B48" s="534"/>
      <c r="C48" s="534"/>
      <c r="D48" s="534"/>
      <c r="E48" s="534"/>
      <c r="F48" s="534"/>
      <c r="G48" s="534"/>
      <c r="H48" s="534"/>
      <c r="I48" s="534"/>
      <c r="J48" s="535"/>
    </row>
    <row r="49" spans="1:12" s="61" customFormat="1">
      <c r="A49" s="536" t="s">
        <v>564</v>
      </c>
      <c r="B49" s="537"/>
      <c r="C49" s="537"/>
      <c r="D49" s="537"/>
      <c r="E49" s="537"/>
      <c r="F49" s="35"/>
      <c r="G49" s="537" t="s">
        <v>563</v>
      </c>
      <c r="H49" s="537"/>
      <c r="I49" s="537"/>
      <c r="J49" s="538"/>
    </row>
    <row r="50" spans="1:12">
      <c r="A50" s="37"/>
      <c r="B50" s="38"/>
      <c r="C50" s="38"/>
      <c r="D50" s="284" t="s">
        <v>379</v>
      </c>
      <c r="E50" s="39"/>
      <c r="F50" s="40"/>
      <c r="G50" s="41"/>
      <c r="H50" s="291"/>
      <c r="I50" s="273" t="s">
        <v>379</v>
      </c>
      <c r="J50" s="68"/>
      <c r="K50" s="43"/>
    </row>
    <row r="51" spans="1:12">
      <c r="A51" s="45"/>
      <c r="B51" s="46"/>
      <c r="C51" s="43"/>
      <c r="D51" s="285" t="s">
        <v>532</v>
      </c>
      <c r="E51" s="47"/>
      <c r="F51" s="40"/>
      <c r="G51" s="48"/>
      <c r="H51" s="292"/>
      <c r="I51" s="274" t="s">
        <v>532</v>
      </c>
      <c r="J51" s="42"/>
      <c r="K51" s="43"/>
    </row>
    <row r="52" spans="1:12" s="61" customFormat="1">
      <c r="A52" s="69"/>
      <c r="B52" s="46" t="s">
        <v>186</v>
      </c>
      <c r="C52" s="157" t="s">
        <v>313</v>
      </c>
      <c r="D52" s="299"/>
      <c r="E52" s="70"/>
      <c r="F52" s="55"/>
      <c r="G52" s="69"/>
      <c r="H52" s="301" t="s">
        <v>577</v>
      </c>
      <c r="I52" s="280"/>
      <c r="J52" s="70"/>
    </row>
    <row r="53" spans="1:12" s="61" customFormat="1">
      <c r="A53" s="69"/>
      <c r="B53" s="46"/>
      <c r="C53" s="157"/>
      <c r="D53" s="299"/>
      <c r="E53" s="70"/>
      <c r="F53" s="55"/>
      <c r="G53" s="69"/>
      <c r="H53" s="60"/>
      <c r="I53" s="280"/>
      <c r="J53" s="70"/>
    </row>
    <row r="54" spans="1:12" s="73" customFormat="1">
      <c r="A54" s="71"/>
      <c r="B54" s="52" t="s">
        <v>366</v>
      </c>
      <c r="C54" s="155" t="s">
        <v>367</v>
      </c>
      <c r="D54" s="72"/>
      <c r="E54" s="53"/>
      <c r="F54" s="52"/>
      <c r="G54" s="51"/>
      <c r="H54" s="293" t="s">
        <v>390</v>
      </c>
      <c r="I54" s="437">
        <v>5878657000</v>
      </c>
      <c r="J54" s="72"/>
    </row>
    <row r="55" spans="1:12">
      <c r="A55" s="45"/>
      <c r="B55" s="43" t="s">
        <v>403</v>
      </c>
      <c r="C55" s="154" t="s">
        <v>403</v>
      </c>
      <c r="D55" s="426">
        <f>'STATEMENT 1'!G43</f>
        <v>96419057.049999997</v>
      </c>
      <c r="E55" s="50"/>
      <c r="F55" s="43"/>
      <c r="G55" s="45"/>
      <c r="H55" s="296" t="s">
        <v>586</v>
      </c>
      <c r="I55" s="437">
        <v>20383298000</v>
      </c>
      <c r="J55" s="50"/>
      <c r="L55" s="73"/>
    </row>
    <row r="56" spans="1:12">
      <c r="A56" s="45"/>
      <c r="B56" s="43" t="s">
        <v>368</v>
      </c>
      <c r="C56" s="154" t="s">
        <v>479</v>
      </c>
      <c r="D56" s="425">
        <f>'STATEMENT 1'!G44</f>
        <v>4348700000</v>
      </c>
      <c r="E56" s="50"/>
      <c r="F56" s="43"/>
      <c r="G56" s="45"/>
      <c r="H56" s="296" t="s">
        <v>574</v>
      </c>
      <c r="I56" s="437">
        <v>12415683000</v>
      </c>
      <c r="J56" s="50"/>
      <c r="L56" s="73"/>
    </row>
    <row r="57" spans="1:12" ht="25.5">
      <c r="A57" s="45"/>
      <c r="B57" s="43" t="s">
        <v>367</v>
      </c>
      <c r="C57" s="154"/>
      <c r="D57" s="425"/>
      <c r="E57" s="50"/>
      <c r="F57" s="43"/>
      <c r="G57" s="45"/>
      <c r="H57" s="341" t="s">
        <v>587</v>
      </c>
      <c r="I57" s="437">
        <v>309939000</v>
      </c>
      <c r="J57" s="50"/>
      <c r="L57" s="73"/>
    </row>
    <row r="58" spans="1:12">
      <c r="A58" s="45"/>
      <c r="B58" s="43"/>
      <c r="C58" s="144" t="s">
        <v>480</v>
      </c>
      <c r="D58" s="424">
        <f>SUM(D55:D56)</f>
        <v>4445119057.0500002</v>
      </c>
      <c r="E58" s="50"/>
      <c r="F58" s="43"/>
      <c r="G58" s="45"/>
      <c r="H58" s="294" t="s">
        <v>393</v>
      </c>
      <c r="I58" s="437">
        <v>6480397000</v>
      </c>
      <c r="J58" s="50"/>
      <c r="L58" s="73"/>
    </row>
    <row r="59" spans="1:12">
      <c r="A59" s="45"/>
      <c r="B59" s="46" t="s">
        <v>404</v>
      </c>
      <c r="C59" s="154"/>
      <c r="D59" s="424"/>
      <c r="E59" s="59"/>
      <c r="F59" s="46"/>
      <c r="G59" s="60"/>
      <c r="H59" s="294" t="s">
        <v>394</v>
      </c>
      <c r="I59" s="437">
        <v>520000000</v>
      </c>
      <c r="J59" s="50"/>
      <c r="L59" s="73"/>
    </row>
    <row r="60" spans="1:12">
      <c r="A60" s="45"/>
      <c r="B60" s="43"/>
      <c r="C60" s="154"/>
      <c r="D60" s="425"/>
      <c r="E60" s="50"/>
      <c r="F60" s="43"/>
      <c r="G60" s="45"/>
      <c r="H60" s="295" t="s">
        <v>397</v>
      </c>
      <c r="I60" s="437">
        <v>81094000</v>
      </c>
      <c r="J60" s="50"/>
      <c r="L60" s="73"/>
    </row>
    <row r="61" spans="1:12">
      <c r="A61" s="45"/>
      <c r="B61" s="46" t="s">
        <v>405</v>
      </c>
      <c r="C61" s="144" t="s">
        <v>405</v>
      </c>
      <c r="D61" s="425"/>
      <c r="E61" s="50"/>
      <c r="F61" s="43"/>
      <c r="G61" s="45"/>
      <c r="H61" s="297" t="s">
        <v>571</v>
      </c>
      <c r="I61" s="437">
        <v>1163000000</v>
      </c>
      <c r="J61" s="50"/>
      <c r="L61" s="73"/>
    </row>
    <row r="62" spans="1:12">
      <c r="A62" s="45"/>
      <c r="B62" s="43"/>
      <c r="C62" s="154"/>
      <c r="D62" s="425"/>
      <c r="E62" s="50"/>
      <c r="F62" s="43"/>
      <c r="G62" s="45"/>
      <c r="H62" s="296" t="s">
        <v>570</v>
      </c>
      <c r="I62" s="437">
        <v>2714648000</v>
      </c>
      <c r="J62" s="50"/>
      <c r="L62" s="73"/>
    </row>
    <row r="63" spans="1:12">
      <c r="A63" s="45"/>
      <c r="B63" s="43"/>
      <c r="C63" s="144" t="s">
        <v>406</v>
      </c>
      <c r="D63" s="425"/>
      <c r="E63" s="50"/>
      <c r="F63" s="43"/>
      <c r="G63" s="45"/>
      <c r="H63" s="294" t="s">
        <v>398</v>
      </c>
      <c r="I63" s="437">
        <v>1286052000</v>
      </c>
      <c r="J63" s="50"/>
      <c r="L63" s="73"/>
    </row>
    <row r="64" spans="1:12">
      <c r="A64" s="45"/>
      <c r="B64" s="43"/>
      <c r="C64" s="154"/>
      <c r="D64" s="425"/>
      <c r="E64" s="50"/>
      <c r="F64" s="43"/>
      <c r="G64" s="45"/>
      <c r="H64" s="294" t="s">
        <v>399</v>
      </c>
      <c r="I64" s="437">
        <v>349697000</v>
      </c>
      <c r="J64" s="50"/>
      <c r="L64" s="73"/>
    </row>
    <row r="65" spans="1:12">
      <c r="A65" s="45"/>
      <c r="B65" s="43"/>
      <c r="C65" s="209" t="s">
        <v>161</v>
      </c>
      <c r="D65" s="427">
        <f>50*148.68*1000000</f>
        <v>7434000000</v>
      </c>
      <c r="E65" s="50"/>
      <c r="F65" s="43"/>
      <c r="G65" s="45"/>
      <c r="H65" s="294" t="s">
        <v>576</v>
      </c>
      <c r="I65" s="437">
        <v>313503000</v>
      </c>
      <c r="J65" s="50"/>
      <c r="L65" s="73"/>
    </row>
    <row r="66" spans="1:12">
      <c r="A66" s="45"/>
      <c r="B66" s="43"/>
      <c r="C66" s="209" t="s">
        <v>162</v>
      </c>
      <c r="D66" s="427">
        <f>100*148.68*1000000</f>
        <v>14868000000</v>
      </c>
      <c r="E66" s="50"/>
      <c r="F66" s="43"/>
      <c r="G66" s="45"/>
      <c r="H66" s="296" t="s">
        <v>569</v>
      </c>
      <c r="I66" s="437">
        <v>2305350000</v>
      </c>
      <c r="J66" s="50"/>
      <c r="L66" s="73"/>
    </row>
    <row r="67" spans="1:12">
      <c r="A67" s="45"/>
      <c r="B67" s="43"/>
      <c r="C67" s="209" t="s">
        <v>163</v>
      </c>
      <c r="D67" s="428">
        <v>0</v>
      </c>
      <c r="E67" s="50"/>
      <c r="F67" s="43"/>
      <c r="G67" s="45"/>
      <c r="H67" s="294"/>
      <c r="I67" s="282"/>
      <c r="J67" s="50"/>
    </row>
    <row r="68" spans="1:12">
      <c r="A68" s="45"/>
      <c r="B68" s="43"/>
      <c r="C68" s="209" t="s">
        <v>164</v>
      </c>
      <c r="D68" s="428">
        <v>0</v>
      </c>
      <c r="E68" s="50"/>
      <c r="F68" s="43"/>
      <c r="G68" s="45"/>
      <c r="H68" s="294"/>
      <c r="I68" s="282"/>
      <c r="J68" s="50"/>
    </row>
    <row r="69" spans="1:12">
      <c r="A69" s="45"/>
      <c r="B69" s="43"/>
      <c r="C69" s="209" t="s">
        <v>165</v>
      </c>
      <c r="D69" s="428">
        <v>0</v>
      </c>
      <c r="E69" s="50"/>
      <c r="F69" s="43"/>
      <c r="G69" s="45"/>
      <c r="H69" s="296"/>
      <c r="I69" s="282"/>
      <c r="J69" s="50"/>
    </row>
    <row r="70" spans="1:12">
      <c r="A70" s="45"/>
      <c r="B70" s="43"/>
      <c r="C70" s="209" t="s">
        <v>166</v>
      </c>
      <c r="D70" s="428">
        <v>0</v>
      </c>
      <c r="E70" s="50"/>
      <c r="F70" s="43"/>
      <c r="G70" s="45"/>
      <c r="H70" s="296"/>
      <c r="I70" s="282"/>
      <c r="J70" s="50"/>
    </row>
    <row r="71" spans="1:12">
      <c r="A71" s="45"/>
      <c r="B71" s="43"/>
      <c r="C71" s="209" t="s">
        <v>167</v>
      </c>
      <c r="D71" s="428">
        <v>0</v>
      </c>
      <c r="E71" s="50"/>
      <c r="F71" s="43"/>
      <c r="G71" s="45"/>
      <c r="H71" s="302"/>
      <c r="I71" s="283"/>
      <c r="J71" s="50"/>
    </row>
    <row r="72" spans="1:12">
      <c r="A72" s="45"/>
      <c r="B72" s="46"/>
      <c r="C72" s="209" t="s">
        <v>168</v>
      </c>
      <c r="D72" s="428">
        <v>0</v>
      </c>
      <c r="E72" s="50"/>
      <c r="F72" s="43"/>
      <c r="G72" s="45"/>
      <c r="H72" s="45"/>
      <c r="I72" s="283"/>
      <c r="J72" s="50"/>
    </row>
    <row r="73" spans="1:12">
      <c r="A73" s="45"/>
      <c r="B73" s="43"/>
      <c r="C73" s="209" t="s">
        <v>169</v>
      </c>
      <c r="D73" s="428">
        <v>0</v>
      </c>
      <c r="E73" s="50"/>
      <c r="F73" s="43"/>
      <c r="G73" s="45"/>
      <c r="H73" s="45"/>
      <c r="I73" s="283"/>
      <c r="J73" s="50"/>
    </row>
    <row r="74" spans="1:12">
      <c r="A74" s="45"/>
      <c r="B74" s="43"/>
      <c r="C74" s="209" t="s">
        <v>170</v>
      </c>
      <c r="D74" s="428">
        <v>0</v>
      </c>
      <c r="E74" s="50"/>
      <c r="F74" s="43"/>
      <c r="G74" s="45"/>
      <c r="H74" s="45"/>
      <c r="I74" s="283"/>
      <c r="J74" s="50"/>
    </row>
    <row r="75" spans="1:12">
      <c r="A75" s="45"/>
      <c r="B75" s="46" t="s">
        <v>407</v>
      </c>
      <c r="C75" s="209" t="s">
        <v>171</v>
      </c>
      <c r="D75" s="428">
        <v>0</v>
      </c>
      <c r="E75" s="59"/>
      <c r="F75" s="43"/>
      <c r="G75" s="45"/>
      <c r="H75" s="45"/>
      <c r="I75" s="283"/>
      <c r="J75" s="50"/>
    </row>
    <row r="76" spans="1:12">
      <c r="A76" s="45"/>
      <c r="B76" s="43"/>
      <c r="C76" s="209" t="s">
        <v>435</v>
      </c>
      <c r="D76" s="428">
        <v>0</v>
      </c>
      <c r="E76" s="50"/>
      <c r="F76" s="46"/>
      <c r="G76" s="60"/>
      <c r="H76" s="45"/>
      <c r="I76" s="283"/>
      <c r="J76" s="50"/>
    </row>
    <row r="77" spans="1:12">
      <c r="A77" s="45"/>
      <c r="B77" s="43"/>
      <c r="C77" s="209" t="s">
        <v>17</v>
      </c>
      <c r="D77" s="428">
        <v>0</v>
      </c>
      <c r="E77" s="50"/>
      <c r="G77" s="45"/>
      <c r="H77" s="45"/>
      <c r="I77" s="277"/>
      <c r="J77" s="50"/>
    </row>
    <row r="78" spans="1:12">
      <c r="A78" s="45"/>
      <c r="B78" s="43"/>
      <c r="C78" s="154"/>
      <c r="D78" s="429"/>
      <c r="E78" s="50"/>
      <c r="F78" s="43"/>
      <c r="G78" s="45"/>
      <c r="H78" s="298" t="s">
        <v>566</v>
      </c>
      <c r="I78" s="157">
        <f>SUM(I54:I76)</f>
        <v>54201318000</v>
      </c>
      <c r="J78" s="50"/>
    </row>
    <row r="79" spans="1:12">
      <c r="A79" s="45"/>
      <c r="B79" s="43"/>
      <c r="C79" s="144" t="s">
        <v>407</v>
      </c>
      <c r="D79" s="430">
        <f>SUM(D65:D77)</f>
        <v>22302000000</v>
      </c>
      <c r="E79" s="50"/>
      <c r="F79" s="43"/>
      <c r="G79" s="45"/>
      <c r="H79" s="294"/>
      <c r="I79" s="436"/>
      <c r="J79" s="50"/>
    </row>
    <row r="80" spans="1:12">
      <c r="A80" s="45"/>
      <c r="B80" s="43"/>
      <c r="C80" s="154"/>
      <c r="D80" s="429"/>
      <c r="E80" s="50"/>
      <c r="F80" s="43"/>
      <c r="G80" s="45"/>
      <c r="H80" s="294" t="s">
        <v>401</v>
      </c>
      <c r="I80" s="154"/>
      <c r="J80" s="50"/>
    </row>
    <row r="81" spans="1:10">
      <c r="A81" s="45"/>
      <c r="B81" s="43"/>
      <c r="C81" s="144" t="s">
        <v>481</v>
      </c>
      <c r="D81" s="429"/>
      <c r="E81" s="50"/>
      <c r="F81" s="43"/>
      <c r="G81" s="45"/>
      <c r="H81" s="45"/>
      <c r="I81" s="436"/>
      <c r="J81" s="50"/>
    </row>
    <row r="82" spans="1:10" ht="13.5" thickBot="1">
      <c r="A82" s="45"/>
      <c r="B82" s="43"/>
      <c r="C82" s="154"/>
      <c r="D82" s="429"/>
      <c r="E82" s="50"/>
      <c r="F82" s="43"/>
      <c r="G82" s="45"/>
      <c r="H82" s="298" t="s">
        <v>578</v>
      </c>
      <c r="I82" s="434">
        <f>I80+I78</f>
        <v>54201318000</v>
      </c>
      <c r="J82" s="50"/>
    </row>
    <row r="83" spans="1:10" ht="13.5" thickTop="1">
      <c r="A83" s="45"/>
      <c r="B83" s="43"/>
      <c r="C83" s="209" t="s">
        <v>172</v>
      </c>
      <c r="D83" s="431">
        <v>0</v>
      </c>
      <c r="E83" s="50"/>
      <c r="F83" s="43"/>
      <c r="G83" s="45"/>
      <c r="H83" s="45"/>
      <c r="I83" s="283"/>
      <c r="J83" s="50"/>
    </row>
    <row r="84" spans="1:10">
      <c r="A84" s="45"/>
      <c r="B84" s="43"/>
      <c r="C84" s="209" t="s">
        <v>173</v>
      </c>
      <c r="D84" s="431">
        <v>0</v>
      </c>
      <c r="E84" s="50"/>
      <c r="F84" s="43"/>
      <c r="G84" s="45"/>
      <c r="H84" s="45"/>
      <c r="I84" s="277"/>
      <c r="J84" s="50"/>
    </row>
    <row r="85" spans="1:10">
      <c r="A85" s="45"/>
      <c r="B85" s="43"/>
      <c r="C85" s="209" t="s">
        <v>174</v>
      </c>
      <c r="D85" s="431">
        <v>0</v>
      </c>
      <c r="E85" s="50"/>
      <c r="F85" s="43"/>
      <c r="G85" s="45"/>
      <c r="H85" s="45"/>
      <c r="I85" s="277"/>
      <c r="J85" s="50"/>
    </row>
    <row r="86" spans="1:10">
      <c r="A86" s="45"/>
      <c r="B86" s="46" t="s">
        <v>408</v>
      </c>
      <c r="C86" s="209" t="s">
        <v>175</v>
      </c>
      <c r="D86" s="431">
        <v>0</v>
      </c>
      <c r="E86" s="59"/>
      <c r="F86" s="43"/>
      <c r="G86" s="45"/>
      <c r="H86" s="45"/>
      <c r="I86" s="277"/>
      <c r="J86" s="50"/>
    </row>
    <row r="87" spans="1:10">
      <c r="A87" s="45"/>
      <c r="B87" s="43"/>
      <c r="C87" s="209" t="s">
        <v>176</v>
      </c>
      <c r="D87" s="431">
        <v>0</v>
      </c>
      <c r="E87" s="50"/>
      <c r="F87" s="46"/>
      <c r="G87" s="60"/>
      <c r="H87" s="45"/>
      <c r="I87" s="277"/>
      <c r="J87" s="50"/>
    </row>
    <row r="88" spans="1:10">
      <c r="A88" s="45"/>
      <c r="B88" s="43"/>
      <c r="C88" s="209" t="s">
        <v>177</v>
      </c>
      <c r="D88" s="431">
        <v>0</v>
      </c>
      <c r="E88" s="59"/>
      <c r="F88" s="43"/>
      <c r="G88" s="45"/>
      <c r="H88" s="45"/>
      <c r="I88" s="277"/>
      <c r="J88" s="50"/>
    </row>
    <row r="89" spans="1:10">
      <c r="A89" s="45"/>
      <c r="B89" s="43"/>
      <c r="C89" s="209" t="s">
        <v>17</v>
      </c>
      <c r="D89" s="430">
        <f>'STATEMENT 2'!J482</f>
        <v>18024100000</v>
      </c>
      <c r="E89" s="59"/>
      <c r="F89" s="43"/>
      <c r="G89" s="45"/>
      <c r="H89" s="45"/>
      <c r="I89" s="277"/>
      <c r="J89" s="50"/>
    </row>
    <row r="90" spans="1:10">
      <c r="A90" s="45"/>
      <c r="B90" s="46" t="s">
        <v>409</v>
      </c>
      <c r="C90" s="154"/>
      <c r="D90" s="430"/>
      <c r="E90" s="59"/>
      <c r="F90" s="43"/>
      <c r="G90" s="45"/>
      <c r="H90" s="45"/>
      <c r="I90" s="277"/>
      <c r="J90" s="50"/>
    </row>
    <row r="91" spans="1:10">
      <c r="A91" s="45"/>
      <c r="B91" s="43"/>
      <c r="C91" s="144" t="s">
        <v>408</v>
      </c>
      <c r="D91" s="430">
        <f>SUM(D83:D90)</f>
        <v>18024100000</v>
      </c>
      <c r="E91" s="50"/>
      <c r="F91" s="43"/>
      <c r="G91" s="45"/>
      <c r="H91" s="45"/>
      <c r="I91" s="277"/>
      <c r="J91" s="50"/>
    </row>
    <row r="92" spans="1:10">
      <c r="A92" s="60"/>
      <c r="B92" s="46" t="s">
        <v>410</v>
      </c>
      <c r="C92" s="154"/>
      <c r="D92" s="425"/>
      <c r="E92" s="50"/>
      <c r="F92" s="43"/>
      <c r="G92" s="45"/>
      <c r="H92" s="45"/>
      <c r="I92" s="277"/>
      <c r="J92" s="50"/>
    </row>
    <row r="93" spans="1:10">
      <c r="A93" s="60"/>
      <c r="B93" s="46"/>
      <c r="C93" s="144" t="s">
        <v>482</v>
      </c>
      <c r="D93" s="425"/>
      <c r="E93" s="50"/>
      <c r="F93" s="43"/>
      <c r="G93" s="45"/>
      <c r="H93" s="45"/>
      <c r="I93" s="277"/>
      <c r="J93" s="50"/>
    </row>
    <row r="94" spans="1:10">
      <c r="A94" s="60"/>
      <c r="B94" s="46"/>
      <c r="C94" s="154"/>
      <c r="D94" s="425"/>
      <c r="E94" s="50"/>
      <c r="F94" s="43"/>
      <c r="G94" s="45"/>
      <c r="H94" s="45"/>
      <c r="I94" s="277"/>
      <c r="J94" s="50"/>
    </row>
    <row r="95" spans="1:10">
      <c r="A95" s="60"/>
      <c r="B95" s="46"/>
      <c r="C95" s="144" t="s">
        <v>409</v>
      </c>
      <c r="D95" s="424">
        <f>SUM(D79+D91+D93)</f>
        <v>40326100000</v>
      </c>
      <c r="E95" s="50"/>
      <c r="F95" s="43"/>
      <c r="G95" s="45"/>
      <c r="H95" s="45"/>
      <c r="I95" s="277"/>
      <c r="J95" s="50"/>
    </row>
    <row r="96" spans="1:10">
      <c r="A96" s="60"/>
      <c r="B96" s="46"/>
      <c r="C96" s="144"/>
      <c r="D96" s="425"/>
      <c r="E96" s="50"/>
      <c r="F96" s="43"/>
      <c r="G96" s="45"/>
      <c r="H96" s="45"/>
      <c r="I96" s="277"/>
      <c r="J96" s="50"/>
    </row>
    <row r="97" spans="1:10">
      <c r="A97" s="60"/>
      <c r="B97" s="46"/>
      <c r="C97" s="144" t="s">
        <v>410</v>
      </c>
      <c r="D97" s="425"/>
      <c r="E97" s="50"/>
      <c r="F97" s="43"/>
      <c r="G97" s="45"/>
      <c r="H97" s="45"/>
      <c r="I97" s="277"/>
      <c r="J97" s="50"/>
    </row>
    <row r="98" spans="1:10">
      <c r="A98" s="60"/>
      <c r="B98" s="46"/>
      <c r="C98" s="154"/>
      <c r="D98" s="425"/>
      <c r="E98" s="50"/>
      <c r="F98" s="43"/>
      <c r="G98" s="45"/>
      <c r="H98" s="45"/>
      <c r="I98" s="277"/>
      <c r="J98" s="50"/>
    </row>
    <row r="99" spans="1:10">
      <c r="A99" s="45"/>
      <c r="B99" s="43"/>
      <c r="C99" s="154"/>
      <c r="D99" s="425"/>
      <c r="E99" s="50"/>
      <c r="F99" s="43"/>
      <c r="G99" s="45"/>
      <c r="H99" s="45"/>
      <c r="I99" s="277"/>
      <c r="J99" s="50"/>
    </row>
    <row r="100" spans="1:10">
      <c r="A100" s="45"/>
      <c r="B100" s="43"/>
      <c r="C100" s="144" t="s">
        <v>472</v>
      </c>
      <c r="D100" s="424">
        <f>'STATEMENT 2'!J489</f>
        <v>89979500000</v>
      </c>
      <c r="E100" s="59"/>
      <c r="F100" s="43"/>
      <c r="G100" s="45"/>
      <c r="H100" s="45"/>
      <c r="I100" s="277"/>
      <c r="J100" s="50"/>
    </row>
    <row r="101" spans="1:10">
      <c r="A101" s="45"/>
      <c r="B101" s="43"/>
      <c r="C101" s="144"/>
      <c r="D101" s="424"/>
      <c r="E101" s="59"/>
      <c r="F101" s="43"/>
      <c r="G101" s="45"/>
      <c r="H101" s="45"/>
      <c r="I101" s="277"/>
      <c r="J101" s="50"/>
    </row>
    <row r="102" spans="1:10">
      <c r="A102" s="45"/>
      <c r="B102" s="43"/>
      <c r="C102" s="144" t="s">
        <v>473</v>
      </c>
      <c r="D102" s="424"/>
      <c r="E102" s="59"/>
      <c r="F102" s="43"/>
      <c r="G102" s="45"/>
      <c r="H102" s="45"/>
      <c r="I102" s="277"/>
      <c r="J102" s="50"/>
    </row>
    <row r="103" spans="1:10">
      <c r="A103" s="45"/>
      <c r="B103" s="43"/>
      <c r="C103" s="154"/>
      <c r="D103" s="425"/>
      <c r="E103" s="50"/>
      <c r="F103" s="43"/>
      <c r="G103" s="45"/>
      <c r="H103" s="45"/>
      <c r="I103" s="277"/>
      <c r="J103" s="50"/>
    </row>
    <row r="104" spans="1:10">
      <c r="A104" s="45"/>
      <c r="B104" s="46" t="s">
        <v>411</v>
      </c>
      <c r="C104" s="144" t="s">
        <v>483</v>
      </c>
      <c r="D104" s="424">
        <f>SUM(D100+D102)</f>
        <v>89979500000</v>
      </c>
      <c r="E104" s="59"/>
      <c r="F104" s="43"/>
      <c r="G104" s="45"/>
      <c r="H104" s="45"/>
      <c r="I104" s="277"/>
      <c r="J104" s="50"/>
    </row>
    <row r="105" spans="1:10">
      <c r="A105" s="45"/>
      <c r="B105" s="43"/>
      <c r="C105" s="154"/>
      <c r="D105" s="425"/>
      <c r="E105" s="50"/>
      <c r="F105" s="43"/>
      <c r="G105" s="45"/>
      <c r="H105" s="45"/>
      <c r="I105" s="277"/>
      <c r="J105" s="50"/>
    </row>
    <row r="106" spans="1:10" ht="13.5" thickBot="1">
      <c r="A106" s="45"/>
      <c r="B106" s="46" t="s">
        <v>412</v>
      </c>
      <c r="C106" s="144" t="s">
        <v>484</v>
      </c>
      <c r="D106" s="432">
        <f>SUM(D104+D95)</f>
        <v>130305600000</v>
      </c>
      <c r="E106" s="59"/>
      <c r="F106" s="43"/>
      <c r="G106" s="45"/>
      <c r="H106" s="45"/>
      <c r="I106" s="277"/>
      <c r="J106" s="50"/>
    </row>
    <row r="107" spans="1:10" ht="13.5" thickTop="1">
      <c r="A107" s="62"/>
      <c r="B107" s="64"/>
      <c r="C107" s="156"/>
      <c r="D107" s="300"/>
      <c r="E107" s="67"/>
      <c r="F107" s="43"/>
      <c r="G107" s="62"/>
      <c r="H107" s="62"/>
      <c r="I107" s="281"/>
      <c r="J107" s="67"/>
    </row>
    <row r="108" spans="1:10">
      <c r="A108" s="43"/>
      <c r="B108" s="46"/>
      <c r="C108" s="43"/>
      <c r="D108" s="276"/>
      <c r="E108" s="46"/>
      <c r="F108" s="43"/>
      <c r="G108" s="43"/>
      <c r="H108" s="43"/>
      <c r="I108" s="277"/>
    </row>
    <row r="109" spans="1:10" s="61" customFormat="1">
      <c r="A109" s="536" t="s">
        <v>185</v>
      </c>
      <c r="B109" s="537"/>
      <c r="C109" s="537"/>
      <c r="D109" s="537"/>
      <c r="E109" s="537"/>
      <c r="F109" s="537"/>
      <c r="G109" s="537"/>
      <c r="H109" s="537"/>
      <c r="I109" s="537"/>
      <c r="J109" s="538"/>
    </row>
    <row r="110" spans="1:10" s="61" customFormat="1">
      <c r="A110" s="536" t="s">
        <v>564</v>
      </c>
      <c r="B110" s="537"/>
      <c r="C110" s="537"/>
      <c r="D110" s="537"/>
      <c r="E110" s="538"/>
      <c r="F110" s="35"/>
      <c r="G110" s="536" t="s">
        <v>563</v>
      </c>
      <c r="H110" s="539"/>
      <c r="I110" s="539"/>
      <c r="J110" s="540"/>
    </row>
    <row r="111" spans="1:10" s="61" customFormat="1">
      <c r="A111" s="74"/>
      <c r="B111" s="75"/>
      <c r="C111" s="76"/>
      <c r="D111" s="303"/>
      <c r="E111" s="77"/>
      <c r="F111" s="55"/>
      <c r="G111" s="74"/>
      <c r="H111" s="304"/>
      <c r="I111" s="416"/>
      <c r="J111" s="77"/>
    </row>
    <row r="112" spans="1:10" s="78" customFormat="1" hidden="1">
      <c r="A112" s="60"/>
      <c r="B112" s="46" t="s">
        <v>413</v>
      </c>
      <c r="C112" s="46"/>
      <c r="D112" s="287">
        <f>D26+D43</f>
        <v>0</v>
      </c>
      <c r="E112" s="59"/>
      <c r="G112" s="60"/>
      <c r="H112" s="298"/>
      <c r="I112" s="157"/>
      <c r="J112" s="59"/>
    </row>
    <row r="113" spans="1:10" s="78" customFormat="1">
      <c r="A113" s="60"/>
      <c r="B113" s="46" t="s">
        <v>186</v>
      </c>
      <c r="C113" s="144" t="s">
        <v>413</v>
      </c>
      <c r="D113" s="424">
        <f>D31+D36</f>
        <v>666646488760.12219</v>
      </c>
      <c r="E113" s="59"/>
      <c r="G113" s="60"/>
      <c r="H113" s="298" t="s">
        <v>414</v>
      </c>
      <c r="I113" s="157">
        <f>I46</f>
        <v>776579569000</v>
      </c>
      <c r="J113" s="59"/>
    </row>
    <row r="114" spans="1:10" s="78" customFormat="1">
      <c r="A114" s="60"/>
      <c r="B114" s="46" t="s">
        <v>416</v>
      </c>
      <c r="C114" s="144" t="s">
        <v>186</v>
      </c>
      <c r="D114" s="424">
        <f>D58</f>
        <v>4445119057.0500002</v>
      </c>
      <c r="E114" s="59"/>
      <c r="G114" s="60"/>
      <c r="H114" s="298" t="s">
        <v>415</v>
      </c>
      <c r="I114" s="157">
        <f>I82</f>
        <v>54201318000</v>
      </c>
      <c r="J114" s="59"/>
    </row>
    <row r="115" spans="1:10" s="78" customFormat="1">
      <c r="A115" s="60"/>
      <c r="B115" s="46"/>
      <c r="C115" s="144" t="s">
        <v>485</v>
      </c>
      <c r="D115" s="424">
        <f>D39</f>
        <v>148700000</v>
      </c>
      <c r="E115" s="59"/>
      <c r="G115" s="60"/>
      <c r="H115" s="298"/>
      <c r="I115" s="157"/>
      <c r="J115" s="59"/>
    </row>
    <row r="116" spans="1:10" s="78" customFormat="1">
      <c r="A116" s="60"/>
      <c r="B116" s="46" t="s">
        <v>417</v>
      </c>
      <c r="C116" s="144" t="s">
        <v>486</v>
      </c>
      <c r="D116" s="424">
        <f>D106</f>
        <v>130305600000</v>
      </c>
      <c r="E116" s="59"/>
      <c r="G116" s="60"/>
      <c r="H116" s="298"/>
      <c r="I116" s="157"/>
      <c r="J116" s="59"/>
    </row>
    <row r="117" spans="1:10" s="78" customFormat="1" ht="13.5" thickBot="1">
      <c r="A117" s="60"/>
      <c r="B117" s="46"/>
      <c r="C117" s="418" t="s">
        <v>582</v>
      </c>
      <c r="D117" s="432">
        <f>'STATEMENT 2'!J507</f>
        <v>5776800000</v>
      </c>
      <c r="E117" s="59"/>
      <c r="G117" s="60"/>
      <c r="H117" s="298"/>
      <c r="I117" s="434"/>
      <c r="J117" s="59"/>
    </row>
    <row r="118" spans="1:10" s="78" customFormat="1" ht="13.5" thickTop="1">
      <c r="A118" s="66"/>
      <c r="B118" s="63" t="s">
        <v>418</v>
      </c>
      <c r="C118" s="419" t="s">
        <v>580</v>
      </c>
      <c r="D118" s="433">
        <f>SUM(D112:D117)</f>
        <v>807322707817.17224</v>
      </c>
      <c r="E118" s="59"/>
      <c r="F118" s="46"/>
      <c r="G118" s="60"/>
      <c r="H118" s="417" t="s">
        <v>579</v>
      </c>
      <c r="I118" s="435">
        <f>SUM(I112:I114)</f>
        <v>830780887000</v>
      </c>
      <c r="J118" s="65"/>
    </row>
  </sheetData>
  <mergeCells count="13">
    <mergeCell ref="A7:E7"/>
    <mergeCell ref="G7:J7"/>
    <mergeCell ref="B1:I1"/>
    <mergeCell ref="B2:I2"/>
    <mergeCell ref="B3:I3"/>
    <mergeCell ref="B4:I4"/>
    <mergeCell ref="B6:I6"/>
    <mergeCell ref="A48:J48"/>
    <mergeCell ref="A49:E49"/>
    <mergeCell ref="G49:J49"/>
    <mergeCell ref="A109:J109"/>
    <mergeCell ref="A110:E110"/>
    <mergeCell ref="G110:J110"/>
  </mergeCells>
  <printOptions horizontalCentered="1"/>
  <pageMargins left="0.26" right="0.17" top="0.45" bottom="0.49" header="0.27" footer="0.17"/>
  <pageSetup scale="75" firstPageNumber="11" orientation="portrait" useFirstPageNumber="1" r:id="rId1"/>
  <headerFooter>
    <oddFooter>&amp;C&amp;P</oddFooter>
  </headerFooter>
  <rowBreaks count="2" manualBreakCount="2">
    <brk id="47" max="16383" man="1"/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2"/>
  <sheetViews>
    <sheetView topLeftCell="A19" workbookViewId="0">
      <selection activeCell="B21" sqref="B21"/>
    </sheetView>
  </sheetViews>
  <sheetFormatPr defaultColWidth="8" defaultRowHeight="12.75"/>
  <cols>
    <col min="1" max="1" width="1.5703125" style="79" customWidth="1"/>
    <col min="2" max="2" width="48.5703125" style="79" customWidth="1"/>
    <col min="3" max="3" width="20.42578125" style="153" customWidth="1"/>
    <col min="4" max="4" width="1.140625" style="79" customWidth="1"/>
    <col min="5" max="5" width="1.42578125" style="79" customWidth="1"/>
    <col min="6" max="6" width="0.5703125" style="79" customWidth="1"/>
    <col min="7" max="7" width="46.140625" style="79" customWidth="1"/>
    <col min="8" max="8" width="18.140625" style="79" bestFit="1" customWidth="1"/>
    <col min="9" max="9" width="8" style="79"/>
    <col min="10" max="10" width="15.42578125" style="79" bestFit="1" customWidth="1"/>
    <col min="11" max="252" width="8" style="79"/>
    <col min="253" max="253" width="1.5703125" style="79" customWidth="1"/>
    <col min="254" max="254" width="41.42578125" style="79" customWidth="1"/>
    <col min="255" max="255" width="15.42578125" style="79" customWidth="1"/>
    <col min="256" max="256" width="1.140625" style="79" customWidth="1"/>
    <col min="257" max="257" width="1.42578125" style="79" customWidth="1"/>
    <col min="258" max="258" width="0.5703125" style="79" customWidth="1"/>
    <col min="259" max="259" width="39.85546875" style="79" customWidth="1"/>
    <col min="260" max="260" width="15.42578125" style="79" bestFit="1" customWidth="1"/>
    <col min="261" max="261" width="1.140625" style="79" customWidth="1"/>
    <col min="262" max="262" width="8" style="79"/>
    <col min="263" max="263" width="20.140625" style="79" customWidth="1"/>
    <col min="264" max="508" width="8" style="79"/>
    <col min="509" max="509" width="1.5703125" style="79" customWidth="1"/>
    <col min="510" max="510" width="41.42578125" style="79" customWidth="1"/>
    <col min="511" max="511" width="15.42578125" style="79" customWidth="1"/>
    <col min="512" max="512" width="1.140625" style="79" customWidth="1"/>
    <col min="513" max="513" width="1.42578125" style="79" customWidth="1"/>
    <col min="514" max="514" width="0.5703125" style="79" customWidth="1"/>
    <col min="515" max="515" width="39.85546875" style="79" customWidth="1"/>
    <col min="516" max="516" width="15.42578125" style="79" bestFit="1" customWidth="1"/>
    <col min="517" max="517" width="1.140625" style="79" customWidth="1"/>
    <col min="518" max="518" width="8" style="79"/>
    <col min="519" max="519" width="20.140625" style="79" customWidth="1"/>
    <col min="520" max="764" width="8" style="79"/>
    <col min="765" max="765" width="1.5703125" style="79" customWidth="1"/>
    <col min="766" max="766" width="41.42578125" style="79" customWidth="1"/>
    <col min="767" max="767" width="15.42578125" style="79" customWidth="1"/>
    <col min="768" max="768" width="1.140625" style="79" customWidth="1"/>
    <col min="769" max="769" width="1.42578125" style="79" customWidth="1"/>
    <col min="770" max="770" width="0.5703125" style="79" customWidth="1"/>
    <col min="771" max="771" width="39.85546875" style="79" customWidth="1"/>
    <col min="772" max="772" width="15.42578125" style="79" bestFit="1" customWidth="1"/>
    <col min="773" max="773" width="1.140625" style="79" customWidth="1"/>
    <col min="774" max="774" width="8" style="79"/>
    <col min="775" max="775" width="20.140625" style="79" customWidth="1"/>
    <col min="776" max="1020" width="8" style="79"/>
    <col min="1021" max="1021" width="1.5703125" style="79" customWidth="1"/>
    <col min="1022" max="1022" width="41.42578125" style="79" customWidth="1"/>
    <col min="1023" max="1023" width="15.42578125" style="79" customWidth="1"/>
    <col min="1024" max="1024" width="1.140625" style="79" customWidth="1"/>
    <col min="1025" max="1025" width="1.42578125" style="79" customWidth="1"/>
    <col min="1026" max="1026" width="0.5703125" style="79" customWidth="1"/>
    <col min="1027" max="1027" width="39.85546875" style="79" customWidth="1"/>
    <col min="1028" max="1028" width="15.42578125" style="79" bestFit="1" customWidth="1"/>
    <col min="1029" max="1029" width="1.140625" style="79" customWidth="1"/>
    <col min="1030" max="1030" width="8" style="79"/>
    <col min="1031" max="1031" width="20.140625" style="79" customWidth="1"/>
    <col min="1032" max="1276" width="8" style="79"/>
    <col min="1277" max="1277" width="1.5703125" style="79" customWidth="1"/>
    <col min="1278" max="1278" width="41.42578125" style="79" customWidth="1"/>
    <col min="1279" max="1279" width="15.42578125" style="79" customWidth="1"/>
    <col min="1280" max="1280" width="1.140625" style="79" customWidth="1"/>
    <col min="1281" max="1281" width="1.42578125" style="79" customWidth="1"/>
    <col min="1282" max="1282" width="0.5703125" style="79" customWidth="1"/>
    <col min="1283" max="1283" width="39.85546875" style="79" customWidth="1"/>
    <col min="1284" max="1284" width="15.42578125" style="79" bestFit="1" customWidth="1"/>
    <col min="1285" max="1285" width="1.140625" style="79" customWidth="1"/>
    <col min="1286" max="1286" width="8" style="79"/>
    <col min="1287" max="1287" width="20.140625" style="79" customWidth="1"/>
    <col min="1288" max="1532" width="8" style="79"/>
    <col min="1533" max="1533" width="1.5703125" style="79" customWidth="1"/>
    <col min="1534" max="1534" width="41.42578125" style="79" customWidth="1"/>
    <col min="1535" max="1535" width="15.42578125" style="79" customWidth="1"/>
    <col min="1536" max="1536" width="1.140625" style="79" customWidth="1"/>
    <col min="1537" max="1537" width="1.42578125" style="79" customWidth="1"/>
    <col min="1538" max="1538" width="0.5703125" style="79" customWidth="1"/>
    <col min="1539" max="1539" width="39.85546875" style="79" customWidth="1"/>
    <col min="1540" max="1540" width="15.42578125" style="79" bestFit="1" customWidth="1"/>
    <col min="1541" max="1541" width="1.140625" style="79" customWidth="1"/>
    <col min="1542" max="1542" width="8" style="79"/>
    <col min="1543" max="1543" width="20.140625" style="79" customWidth="1"/>
    <col min="1544" max="1788" width="8" style="79"/>
    <col min="1789" max="1789" width="1.5703125" style="79" customWidth="1"/>
    <col min="1790" max="1790" width="41.42578125" style="79" customWidth="1"/>
    <col min="1791" max="1791" width="15.42578125" style="79" customWidth="1"/>
    <col min="1792" max="1792" width="1.140625" style="79" customWidth="1"/>
    <col min="1793" max="1793" width="1.42578125" style="79" customWidth="1"/>
    <col min="1794" max="1794" width="0.5703125" style="79" customWidth="1"/>
    <col min="1795" max="1795" width="39.85546875" style="79" customWidth="1"/>
    <col min="1796" max="1796" width="15.42578125" style="79" bestFit="1" customWidth="1"/>
    <col min="1797" max="1797" width="1.140625" style="79" customWidth="1"/>
    <col min="1798" max="1798" width="8" style="79"/>
    <col min="1799" max="1799" width="20.140625" style="79" customWidth="1"/>
    <col min="1800" max="2044" width="8" style="79"/>
    <col min="2045" max="2045" width="1.5703125" style="79" customWidth="1"/>
    <col min="2046" max="2046" width="41.42578125" style="79" customWidth="1"/>
    <col min="2047" max="2047" width="15.42578125" style="79" customWidth="1"/>
    <col min="2048" max="2048" width="1.140625" style="79" customWidth="1"/>
    <col min="2049" max="2049" width="1.42578125" style="79" customWidth="1"/>
    <col min="2050" max="2050" width="0.5703125" style="79" customWidth="1"/>
    <col min="2051" max="2051" width="39.85546875" style="79" customWidth="1"/>
    <col min="2052" max="2052" width="15.42578125" style="79" bestFit="1" customWidth="1"/>
    <col min="2053" max="2053" width="1.140625" style="79" customWidth="1"/>
    <col min="2054" max="2054" width="8" style="79"/>
    <col min="2055" max="2055" width="20.140625" style="79" customWidth="1"/>
    <col min="2056" max="2300" width="8" style="79"/>
    <col min="2301" max="2301" width="1.5703125" style="79" customWidth="1"/>
    <col min="2302" max="2302" width="41.42578125" style="79" customWidth="1"/>
    <col min="2303" max="2303" width="15.42578125" style="79" customWidth="1"/>
    <col min="2304" max="2304" width="1.140625" style="79" customWidth="1"/>
    <col min="2305" max="2305" width="1.42578125" style="79" customWidth="1"/>
    <col min="2306" max="2306" width="0.5703125" style="79" customWidth="1"/>
    <col min="2307" max="2307" width="39.85546875" style="79" customWidth="1"/>
    <col min="2308" max="2308" width="15.42578125" style="79" bestFit="1" customWidth="1"/>
    <col min="2309" max="2309" width="1.140625" style="79" customWidth="1"/>
    <col min="2310" max="2310" width="8" style="79"/>
    <col min="2311" max="2311" width="20.140625" style="79" customWidth="1"/>
    <col min="2312" max="2556" width="8" style="79"/>
    <col min="2557" max="2557" width="1.5703125" style="79" customWidth="1"/>
    <col min="2558" max="2558" width="41.42578125" style="79" customWidth="1"/>
    <col min="2559" max="2559" width="15.42578125" style="79" customWidth="1"/>
    <col min="2560" max="2560" width="1.140625" style="79" customWidth="1"/>
    <col min="2561" max="2561" width="1.42578125" style="79" customWidth="1"/>
    <col min="2562" max="2562" width="0.5703125" style="79" customWidth="1"/>
    <col min="2563" max="2563" width="39.85546875" style="79" customWidth="1"/>
    <col min="2564" max="2564" width="15.42578125" style="79" bestFit="1" customWidth="1"/>
    <col min="2565" max="2565" width="1.140625" style="79" customWidth="1"/>
    <col min="2566" max="2566" width="8" style="79"/>
    <col min="2567" max="2567" width="20.140625" style="79" customWidth="1"/>
    <col min="2568" max="2812" width="8" style="79"/>
    <col min="2813" max="2813" width="1.5703125" style="79" customWidth="1"/>
    <col min="2814" max="2814" width="41.42578125" style="79" customWidth="1"/>
    <col min="2815" max="2815" width="15.42578125" style="79" customWidth="1"/>
    <col min="2816" max="2816" width="1.140625" style="79" customWidth="1"/>
    <col min="2817" max="2817" width="1.42578125" style="79" customWidth="1"/>
    <col min="2818" max="2818" width="0.5703125" style="79" customWidth="1"/>
    <col min="2819" max="2819" width="39.85546875" style="79" customWidth="1"/>
    <col min="2820" max="2820" width="15.42578125" style="79" bestFit="1" customWidth="1"/>
    <col min="2821" max="2821" width="1.140625" style="79" customWidth="1"/>
    <col min="2822" max="2822" width="8" style="79"/>
    <col min="2823" max="2823" width="20.140625" style="79" customWidth="1"/>
    <col min="2824" max="3068" width="8" style="79"/>
    <col min="3069" max="3069" width="1.5703125" style="79" customWidth="1"/>
    <col min="3070" max="3070" width="41.42578125" style="79" customWidth="1"/>
    <col min="3071" max="3071" width="15.42578125" style="79" customWidth="1"/>
    <col min="3072" max="3072" width="1.140625" style="79" customWidth="1"/>
    <col min="3073" max="3073" width="1.42578125" style="79" customWidth="1"/>
    <col min="3074" max="3074" width="0.5703125" style="79" customWidth="1"/>
    <col min="3075" max="3075" width="39.85546875" style="79" customWidth="1"/>
    <col min="3076" max="3076" width="15.42578125" style="79" bestFit="1" customWidth="1"/>
    <col min="3077" max="3077" width="1.140625" style="79" customWidth="1"/>
    <col min="3078" max="3078" width="8" style="79"/>
    <col min="3079" max="3079" width="20.140625" style="79" customWidth="1"/>
    <col min="3080" max="3324" width="8" style="79"/>
    <col min="3325" max="3325" width="1.5703125" style="79" customWidth="1"/>
    <col min="3326" max="3326" width="41.42578125" style="79" customWidth="1"/>
    <col min="3327" max="3327" width="15.42578125" style="79" customWidth="1"/>
    <col min="3328" max="3328" width="1.140625" style="79" customWidth="1"/>
    <col min="3329" max="3329" width="1.42578125" style="79" customWidth="1"/>
    <col min="3330" max="3330" width="0.5703125" style="79" customWidth="1"/>
    <col min="3331" max="3331" width="39.85546875" style="79" customWidth="1"/>
    <col min="3332" max="3332" width="15.42578125" style="79" bestFit="1" customWidth="1"/>
    <col min="3333" max="3333" width="1.140625" style="79" customWidth="1"/>
    <col min="3334" max="3334" width="8" style="79"/>
    <col min="3335" max="3335" width="20.140625" style="79" customWidth="1"/>
    <col min="3336" max="3580" width="8" style="79"/>
    <col min="3581" max="3581" width="1.5703125" style="79" customWidth="1"/>
    <col min="3582" max="3582" width="41.42578125" style="79" customWidth="1"/>
    <col min="3583" max="3583" width="15.42578125" style="79" customWidth="1"/>
    <col min="3584" max="3584" width="1.140625" style="79" customWidth="1"/>
    <col min="3585" max="3585" width="1.42578125" style="79" customWidth="1"/>
    <col min="3586" max="3586" width="0.5703125" style="79" customWidth="1"/>
    <col min="3587" max="3587" width="39.85546875" style="79" customWidth="1"/>
    <col min="3588" max="3588" width="15.42578125" style="79" bestFit="1" customWidth="1"/>
    <col min="3589" max="3589" width="1.140625" style="79" customWidth="1"/>
    <col min="3590" max="3590" width="8" style="79"/>
    <col min="3591" max="3591" width="20.140625" style="79" customWidth="1"/>
    <col min="3592" max="3836" width="8" style="79"/>
    <col min="3837" max="3837" width="1.5703125" style="79" customWidth="1"/>
    <col min="3838" max="3838" width="41.42578125" style="79" customWidth="1"/>
    <col min="3839" max="3839" width="15.42578125" style="79" customWidth="1"/>
    <col min="3840" max="3840" width="1.140625" style="79" customWidth="1"/>
    <col min="3841" max="3841" width="1.42578125" style="79" customWidth="1"/>
    <col min="3842" max="3842" width="0.5703125" style="79" customWidth="1"/>
    <col min="3843" max="3843" width="39.85546875" style="79" customWidth="1"/>
    <col min="3844" max="3844" width="15.42578125" style="79" bestFit="1" customWidth="1"/>
    <col min="3845" max="3845" width="1.140625" style="79" customWidth="1"/>
    <col min="3846" max="3846" width="8" style="79"/>
    <col min="3847" max="3847" width="20.140625" style="79" customWidth="1"/>
    <col min="3848" max="4092" width="8" style="79"/>
    <col min="4093" max="4093" width="1.5703125" style="79" customWidth="1"/>
    <col min="4094" max="4094" width="41.42578125" style="79" customWidth="1"/>
    <col min="4095" max="4095" width="15.42578125" style="79" customWidth="1"/>
    <col min="4096" max="4096" width="1.140625" style="79" customWidth="1"/>
    <col min="4097" max="4097" width="1.42578125" style="79" customWidth="1"/>
    <col min="4098" max="4098" width="0.5703125" style="79" customWidth="1"/>
    <col min="4099" max="4099" width="39.85546875" style="79" customWidth="1"/>
    <col min="4100" max="4100" width="15.42578125" style="79" bestFit="1" customWidth="1"/>
    <col min="4101" max="4101" width="1.140625" style="79" customWidth="1"/>
    <col min="4102" max="4102" width="8" style="79"/>
    <col min="4103" max="4103" width="20.140625" style="79" customWidth="1"/>
    <col min="4104" max="4348" width="8" style="79"/>
    <col min="4349" max="4349" width="1.5703125" style="79" customWidth="1"/>
    <col min="4350" max="4350" width="41.42578125" style="79" customWidth="1"/>
    <col min="4351" max="4351" width="15.42578125" style="79" customWidth="1"/>
    <col min="4352" max="4352" width="1.140625" style="79" customWidth="1"/>
    <col min="4353" max="4353" width="1.42578125" style="79" customWidth="1"/>
    <col min="4354" max="4354" width="0.5703125" style="79" customWidth="1"/>
    <col min="4355" max="4355" width="39.85546875" style="79" customWidth="1"/>
    <col min="4356" max="4356" width="15.42578125" style="79" bestFit="1" customWidth="1"/>
    <col min="4357" max="4357" width="1.140625" style="79" customWidth="1"/>
    <col min="4358" max="4358" width="8" style="79"/>
    <col min="4359" max="4359" width="20.140625" style="79" customWidth="1"/>
    <col min="4360" max="4604" width="8" style="79"/>
    <col min="4605" max="4605" width="1.5703125" style="79" customWidth="1"/>
    <col min="4606" max="4606" width="41.42578125" style="79" customWidth="1"/>
    <col min="4607" max="4607" width="15.42578125" style="79" customWidth="1"/>
    <col min="4608" max="4608" width="1.140625" style="79" customWidth="1"/>
    <col min="4609" max="4609" width="1.42578125" style="79" customWidth="1"/>
    <col min="4610" max="4610" width="0.5703125" style="79" customWidth="1"/>
    <col min="4611" max="4611" width="39.85546875" style="79" customWidth="1"/>
    <col min="4612" max="4612" width="15.42578125" style="79" bestFit="1" customWidth="1"/>
    <col min="4613" max="4613" width="1.140625" style="79" customWidth="1"/>
    <col min="4614" max="4614" width="8" style="79"/>
    <col min="4615" max="4615" width="20.140625" style="79" customWidth="1"/>
    <col min="4616" max="4860" width="8" style="79"/>
    <col min="4861" max="4861" width="1.5703125" style="79" customWidth="1"/>
    <col min="4862" max="4862" width="41.42578125" style="79" customWidth="1"/>
    <col min="4863" max="4863" width="15.42578125" style="79" customWidth="1"/>
    <col min="4864" max="4864" width="1.140625" style="79" customWidth="1"/>
    <col min="4865" max="4865" width="1.42578125" style="79" customWidth="1"/>
    <col min="4866" max="4866" width="0.5703125" style="79" customWidth="1"/>
    <col min="4867" max="4867" width="39.85546875" style="79" customWidth="1"/>
    <col min="4868" max="4868" width="15.42578125" style="79" bestFit="1" customWidth="1"/>
    <col min="4869" max="4869" width="1.140625" style="79" customWidth="1"/>
    <col min="4870" max="4870" width="8" style="79"/>
    <col min="4871" max="4871" width="20.140625" style="79" customWidth="1"/>
    <col min="4872" max="5116" width="8" style="79"/>
    <col min="5117" max="5117" width="1.5703125" style="79" customWidth="1"/>
    <col min="5118" max="5118" width="41.42578125" style="79" customWidth="1"/>
    <col min="5119" max="5119" width="15.42578125" style="79" customWidth="1"/>
    <col min="5120" max="5120" width="1.140625" style="79" customWidth="1"/>
    <col min="5121" max="5121" width="1.42578125" style="79" customWidth="1"/>
    <col min="5122" max="5122" width="0.5703125" style="79" customWidth="1"/>
    <col min="5123" max="5123" width="39.85546875" style="79" customWidth="1"/>
    <col min="5124" max="5124" width="15.42578125" style="79" bestFit="1" customWidth="1"/>
    <col min="5125" max="5125" width="1.140625" style="79" customWidth="1"/>
    <col min="5126" max="5126" width="8" style="79"/>
    <col min="5127" max="5127" width="20.140625" style="79" customWidth="1"/>
    <col min="5128" max="5372" width="8" style="79"/>
    <col min="5373" max="5373" width="1.5703125" style="79" customWidth="1"/>
    <col min="5374" max="5374" width="41.42578125" style="79" customWidth="1"/>
    <col min="5375" max="5375" width="15.42578125" style="79" customWidth="1"/>
    <col min="5376" max="5376" width="1.140625" style="79" customWidth="1"/>
    <col min="5377" max="5377" width="1.42578125" style="79" customWidth="1"/>
    <col min="5378" max="5378" width="0.5703125" style="79" customWidth="1"/>
    <col min="5379" max="5379" width="39.85546875" style="79" customWidth="1"/>
    <col min="5380" max="5380" width="15.42578125" style="79" bestFit="1" customWidth="1"/>
    <col min="5381" max="5381" width="1.140625" style="79" customWidth="1"/>
    <col min="5382" max="5382" width="8" style="79"/>
    <col min="5383" max="5383" width="20.140625" style="79" customWidth="1"/>
    <col min="5384" max="5628" width="8" style="79"/>
    <col min="5629" max="5629" width="1.5703125" style="79" customWidth="1"/>
    <col min="5630" max="5630" width="41.42578125" style="79" customWidth="1"/>
    <col min="5631" max="5631" width="15.42578125" style="79" customWidth="1"/>
    <col min="5632" max="5632" width="1.140625" style="79" customWidth="1"/>
    <col min="5633" max="5633" width="1.42578125" style="79" customWidth="1"/>
    <col min="5634" max="5634" width="0.5703125" style="79" customWidth="1"/>
    <col min="5635" max="5635" width="39.85546875" style="79" customWidth="1"/>
    <col min="5636" max="5636" width="15.42578125" style="79" bestFit="1" customWidth="1"/>
    <col min="5637" max="5637" width="1.140625" style="79" customWidth="1"/>
    <col min="5638" max="5638" width="8" style="79"/>
    <col min="5639" max="5639" width="20.140625" style="79" customWidth="1"/>
    <col min="5640" max="5884" width="8" style="79"/>
    <col min="5885" max="5885" width="1.5703125" style="79" customWidth="1"/>
    <col min="5886" max="5886" width="41.42578125" style="79" customWidth="1"/>
    <col min="5887" max="5887" width="15.42578125" style="79" customWidth="1"/>
    <col min="5888" max="5888" width="1.140625" style="79" customWidth="1"/>
    <col min="5889" max="5889" width="1.42578125" style="79" customWidth="1"/>
    <col min="5890" max="5890" width="0.5703125" style="79" customWidth="1"/>
    <col min="5891" max="5891" width="39.85546875" style="79" customWidth="1"/>
    <col min="5892" max="5892" width="15.42578125" style="79" bestFit="1" customWidth="1"/>
    <col min="5893" max="5893" width="1.140625" style="79" customWidth="1"/>
    <col min="5894" max="5894" width="8" style="79"/>
    <col min="5895" max="5895" width="20.140625" style="79" customWidth="1"/>
    <col min="5896" max="6140" width="8" style="79"/>
    <col min="6141" max="6141" width="1.5703125" style="79" customWidth="1"/>
    <col min="6142" max="6142" width="41.42578125" style="79" customWidth="1"/>
    <col min="6143" max="6143" width="15.42578125" style="79" customWidth="1"/>
    <col min="6144" max="6144" width="1.140625" style="79" customWidth="1"/>
    <col min="6145" max="6145" width="1.42578125" style="79" customWidth="1"/>
    <col min="6146" max="6146" width="0.5703125" style="79" customWidth="1"/>
    <col min="6147" max="6147" width="39.85546875" style="79" customWidth="1"/>
    <col min="6148" max="6148" width="15.42578125" style="79" bestFit="1" customWidth="1"/>
    <col min="6149" max="6149" width="1.140625" style="79" customWidth="1"/>
    <col min="6150" max="6150" width="8" style="79"/>
    <col min="6151" max="6151" width="20.140625" style="79" customWidth="1"/>
    <col min="6152" max="6396" width="8" style="79"/>
    <col min="6397" max="6397" width="1.5703125" style="79" customWidth="1"/>
    <col min="6398" max="6398" width="41.42578125" style="79" customWidth="1"/>
    <col min="6399" max="6399" width="15.42578125" style="79" customWidth="1"/>
    <col min="6400" max="6400" width="1.140625" style="79" customWidth="1"/>
    <col min="6401" max="6401" width="1.42578125" style="79" customWidth="1"/>
    <col min="6402" max="6402" width="0.5703125" style="79" customWidth="1"/>
    <col min="6403" max="6403" width="39.85546875" style="79" customWidth="1"/>
    <col min="6404" max="6404" width="15.42578125" style="79" bestFit="1" customWidth="1"/>
    <col min="6405" max="6405" width="1.140625" style="79" customWidth="1"/>
    <col min="6406" max="6406" width="8" style="79"/>
    <col min="6407" max="6407" width="20.140625" style="79" customWidth="1"/>
    <col min="6408" max="6652" width="8" style="79"/>
    <col min="6653" max="6653" width="1.5703125" style="79" customWidth="1"/>
    <col min="6654" max="6654" width="41.42578125" style="79" customWidth="1"/>
    <col min="6655" max="6655" width="15.42578125" style="79" customWidth="1"/>
    <col min="6656" max="6656" width="1.140625" style="79" customWidth="1"/>
    <col min="6657" max="6657" width="1.42578125" style="79" customWidth="1"/>
    <col min="6658" max="6658" width="0.5703125" style="79" customWidth="1"/>
    <col min="6659" max="6659" width="39.85546875" style="79" customWidth="1"/>
    <col min="6660" max="6660" width="15.42578125" style="79" bestFit="1" customWidth="1"/>
    <col min="6661" max="6661" width="1.140625" style="79" customWidth="1"/>
    <col min="6662" max="6662" width="8" style="79"/>
    <col min="6663" max="6663" width="20.140625" style="79" customWidth="1"/>
    <col min="6664" max="6908" width="8" style="79"/>
    <col min="6909" max="6909" width="1.5703125" style="79" customWidth="1"/>
    <col min="6910" max="6910" width="41.42578125" style="79" customWidth="1"/>
    <col min="6911" max="6911" width="15.42578125" style="79" customWidth="1"/>
    <col min="6912" max="6912" width="1.140625" style="79" customWidth="1"/>
    <col min="6913" max="6913" width="1.42578125" style="79" customWidth="1"/>
    <col min="6914" max="6914" width="0.5703125" style="79" customWidth="1"/>
    <col min="6915" max="6915" width="39.85546875" style="79" customWidth="1"/>
    <col min="6916" max="6916" width="15.42578125" style="79" bestFit="1" customWidth="1"/>
    <col min="6917" max="6917" width="1.140625" style="79" customWidth="1"/>
    <col min="6918" max="6918" width="8" style="79"/>
    <col min="6919" max="6919" width="20.140625" style="79" customWidth="1"/>
    <col min="6920" max="7164" width="8" style="79"/>
    <col min="7165" max="7165" width="1.5703125" style="79" customWidth="1"/>
    <col min="7166" max="7166" width="41.42578125" style="79" customWidth="1"/>
    <col min="7167" max="7167" width="15.42578125" style="79" customWidth="1"/>
    <col min="7168" max="7168" width="1.140625" style="79" customWidth="1"/>
    <col min="7169" max="7169" width="1.42578125" style="79" customWidth="1"/>
    <col min="7170" max="7170" width="0.5703125" style="79" customWidth="1"/>
    <col min="7171" max="7171" width="39.85546875" style="79" customWidth="1"/>
    <col min="7172" max="7172" width="15.42578125" style="79" bestFit="1" customWidth="1"/>
    <col min="7173" max="7173" width="1.140625" style="79" customWidth="1"/>
    <col min="7174" max="7174" width="8" style="79"/>
    <col min="7175" max="7175" width="20.140625" style="79" customWidth="1"/>
    <col min="7176" max="7420" width="8" style="79"/>
    <col min="7421" max="7421" width="1.5703125" style="79" customWidth="1"/>
    <col min="7422" max="7422" width="41.42578125" style="79" customWidth="1"/>
    <col min="7423" max="7423" width="15.42578125" style="79" customWidth="1"/>
    <col min="7424" max="7424" width="1.140625" style="79" customWidth="1"/>
    <col min="7425" max="7425" width="1.42578125" style="79" customWidth="1"/>
    <col min="7426" max="7426" width="0.5703125" style="79" customWidth="1"/>
    <col min="7427" max="7427" width="39.85546875" style="79" customWidth="1"/>
    <col min="7428" max="7428" width="15.42578125" style="79" bestFit="1" customWidth="1"/>
    <col min="7429" max="7429" width="1.140625" style="79" customWidth="1"/>
    <col min="7430" max="7430" width="8" style="79"/>
    <col min="7431" max="7431" width="20.140625" style="79" customWidth="1"/>
    <col min="7432" max="7676" width="8" style="79"/>
    <col min="7677" max="7677" width="1.5703125" style="79" customWidth="1"/>
    <col min="7678" max="7678" width="41.42578125" style="79" customWidth="1"/>
    <col min="7679" max="7679" width="15.42578125" style="79" customWidth="1"/>
    <col min="7680" max="7680" width="1.140625" style="79" customWidth="1"/>
    <col min="7681" max="7681" width="1.42578125" style="79" customWidth="1"/>
    <col min="7682" max="7682" width="0.5703125" style="79" customWidth="1"/>
    <col min="7683" max="7683" width="39.85546875" style="79" customWidth="1"/>
    <col min="7684" max="7684" width="15.42578125" style="79" bestFit="1" customWidth="1"/>
    <col min="7685" max="7685" width="1.140625" style="79" customWidth="1"/>
    <col min="7686" max="7686" width="8" style="79"/>
    <col min="7687" max="7687" width="20.140625" style="79" customWidth="1"/>
    <col min="7688" max="7932" width="8" style="79"/>
    <col min="7933" max="7933" width="1.5703125" style="79" customWidth="1"/>
    <col min="7934" max="7934" width="41.42578125" style="79" customWidth="1"/>
    <col min="7935" max="7935" width="15.42578125" style="79" customWidth="1"/>
    <col min="7936" max="7936" width="1.140625" style="79" customWidth="1"/>
    <col min="7937" max="7937" width="1.42578125" style="79" customWidth="1"/>
    <col min="7938" max="7938" width="0.5703125" style="79" customWidth="1"/>
    <col min="7939" max="7939" width="39.85546875" style="79" customWidth="1"/>
    <col min="7940" max="7940" width="15.42578125" style="79" bestFit="1" customWidth="1"/>
    <col min="7941" max="7941" width="1.140625" style="79" customWidth="1"/>
    <col min="7942" max="7942" width="8" style="79"/>
    <col min="7943" max="7943" width="20.140625" style="79" customWidth="1"/>
    <col min="7944" max="8188" width="8" style="79"/>
    <col min="8189" max="8189" width="1.5703125" style="79" customWidth="1"/>
    <col min="8190" max="8190" width="41.42578125" style="79" customWidth="1"/>
    <col min="8191" max="8191" width="15.42578125" style="79" customWidth="1"/>
    <col min="8192" max="8192" width="1.140625" style="79" customWidth="1"/>
    <col min="8193" max="8193" width="1.42578125" style="79" customWidth="1"/>
    <col min="8194" max="8194" width="0.5703125" style="79" customWidth="1"/>
    <col min="8195" max="8195" width="39.85546875" style="79" customWidth="1"/>
    <col min="8196" max="8196" width="15.42578125" style="79" bestFit="1" customWidth="1"/>
    <col min="8197" max="8197" width="1.140625" style="79" customWidth="1"/>
    <col min="8198" max="8198" width="8" style="79"/>
    <col min="8199" max="8199" width="20.140625" style="79" customWidth="1"/>
    <col min="8200" max="8444" width="8" style="79"/>
    <col min="8445" max="8445" width="1.5703125" style="79" customWidth="1"/>
    <col min="8446" max="8446" width="41.42578125" style="79" customWidth="1"/>
    <col min="8447" max="8447" width="15.42578125" style="79" customWidth="1"/>
    <col min="8448" max="8448" width="1.140625" style="79" customWidth="1"/>
    <col min="8449" max="8449" width="1.42578125" style="79" customWidth="1"/>
    <col min="8450" max="8450" width="0.5703125" style="79" customWidth="1"/>
    <col min="8451" max="8451" width="39.85546875" style="79" customWidth="1"/>
    <col min="8452" max="8452" width="15.42578125" style="79" bestFit="1" customWidth="1"/>
    <col min="8453" max="8453" width="1.140625" style="79" customWidth="1"/>
    <col min="8454" max="8454" width="8" style="79"/>
    <col min="8455" max="8455" width="20.140625" style="79" customWidth="1"/>
    <col min="8456" max="8700" width="8" style="79"/>
    <col min="8701" max="8701" width="1.5703125" style="79" customWidth="1"/>
    <col min="8702" max="8702" width="41.42578125" style="79" customWidth="1"/>
    <col min="8703" max="8703" width="15.42578125" style="79" customWidth="1"/>
    <col min="8704" max="8704" width="1.140625" style="79" customWidth="1"/>
    <col min="8705" max="8705" width="1.42578125" style="79" customWidth="1"/>
    <col min="8706" max="8706" width="0.5703125" style="79" customWidth="1"/>
    <col min="8707" max="8707" width="39.85546875" style="79" customWidth="1"/>
    <col min="8708" max="8708" width="15.42578125" style="79" bestFit="1" customWidth="1"/>
    <col min="8709" max="8709" width="1.140625" style="79" customWidth="1"/>
    <col min="8710" max="8710" width="8" style="79"/>
    <col min="8711" max="8711" width="20.140625" style="79" customWidth="1"/>
    <col min="8712" max="8956" width="8" style="79"/>
    <col min="8957" max="8957" width="1.5703125" style="79" customWidth="1"/>
    <col min="8958" max="8958" width="41.42578125" style="79" customWidth="1"/>
    <col min="8959" max="8959" width="15.42578125" style="79" customWidth="1"/>
    <col min="8960" max="8960" width="1.140625" style="79" customWidth="1"/>
    <col min="8961" max="8961" width="1.42578125" style="79" customWidth="1"/>
    <col min="8962" max="8962" width="0.5703125" style="79" customWidth="1"/>
    <col min="8963" max="8963" width="39.85546875" style="79" customWidth="1"/>
    <col min="8964" max="8964" width="15.42578125" style="79" bestFit="1" customWidth="1"/>
    <col min="8965" max="8965" width="1.140625" style="79" customWidth="1"/>
    <col min="8966" max="8966" width="8" style="79"/>
    <col min="8967" max="8967" width="20.140625" style="79" customWidth="1"/>
    <col min="8968" max="9212" width="8" style="79"/>
    <col min="9213" max="9213" width="1.5703125" style="79" customWidth="1"/>
    <col min="9214" max="9214" width="41.42578125" style="79" customWidth="1"/>
    <col min="9215" max="9215" width="15.42578125" style="79" customWidth="1"/>
    <col min="9216" max="9216" width="1.140625" style="79" customWidth="1"/>
    <col min="9217" max="9217" width="1.42578125" style="79" customWidth="1"/>
    <col min="9218" max="9218" width="0.5703125" style="79" customWidth="1"/>
    <col min="9219" max="9219" width="39.85546875" style="79" customWidth="1"/>
    <col min="9220" max="9220" width="15.42578125" style="79" bestFit="1" customWidth="1"/>
    <col min="9221" max="9221" width="1.140625" style="79" customWidth="1"/>
    <col min="9222" max="9222" width="8" style="79"/>
    <col min="9223" max="9223" width="20.140625" style="79" customWidth="1"/>
    <col min="9224" max="9468" width="8" style="79"/>
    <col min="9469" max="9469" width="1.5703125" style="79" customWidth="1"/>
    <col min="9470" max="9470" width="41.42578125" style="79" customWidth="1"/>
    <col min="9471" max="9471" width="15.42578125" style="79" customWidth="1"/>
    <col min="9472" max="9472" width="1.140625" style="79" customWidth="1"/>
    <col min="9473" max="9473" width="1.42578125" style="79" customWidth="1"/>
    <col min="9474" max="9474" width="0.5703125" style="79" customWidth="1"/>
    <col min="9475" max="9475" width="39.85546875" style="79" customWidth="1"/>
    <col min="9476" max="9476" width="15.42578125" style="79" bestFit="1" customWidth="1"/>
    <col min="9477" max="9477" width="1.140625" style="79" customWidth="1"/>
    <col min="9478" max="9478" width="8" style="79"/>
    <col min="9479" max="9479" width="20.140625" style="79" customWidth="1"/>
    <col min="9480" max="9724" width="8" style="79"/>
    <col min="9725" max="9725" width="1.5703125" style="79" customWidth="1"/>
    <col min="9726" max="9726" width="41.42578125" style="79" customWidth="1"/>
    <col min="9727" max="9727" width="15.42578125" style="79" customWidth="1"/>
    <col min="9728" max="9728" width="1.140625" style="79" customWidth="1"/>
    <col min="9729" max="9729" width="1.42578125" style="79" customWidth="1"/>
    <col min="9730" max="9730" width="0.5703125" style="79" customWidth="1"/>
    <col min="9731" max="9731" width="39.85546875" style="79" customWidth="1"/>
    <col min="9732" max="9732" width="15.42578125" style="79" bestFit="1" customWidth="1"/>
    <col min="9733" max="9733" width="1.140625" style="79" customWidth="1"/>
    <col min="9734" max="9734" width="8" style="79"/>
    <col min="9735" max="9735" width="20.140625" style="79" customWidth="1"/>
    <col min="9736" max="9980" width="8" style="79"/>
    <col min="9981" max="9981" width="1.5703125" style="79" customWidth="1"/>
    <col min="9982" max="9982" width="41.42578125" style="79" customWidth="1"/>
    <col min="9983" max="9983" width="15.42578125" style="79" customWidth="1"/>
    <col min="9984" max="9984" width="1.140625" style="79" customWidth="1"/>
    <col min="9985" max="9985" width="1.42578125" style="79" customWidth="1"/>
    <col min="9986" max="9986" width="0.5703125" style="79" customWidth="1"/>
    <col min="9987" max="9987" width="39.85546875" style="79" customWidth="1"/>
    <col min="9988" max="9988" width="15.42578125" style="79" bestFit="1" customWidth="1"/>
    <col min="9989" max="9989" width="1.140625" style="79" customWidth="1"/>
    <col min="9990" max="9990" width="8" style="79"/>
    <col min="9991" max="9991" width="20.140625" style="79" customWidth="1"/>
    <col min="9992" max="10236" width="8" style="79"/>
    <col min="10237" max="10237" width="1.5703125" style="79" customWidth="1"/>
    <col min="10238" max="10238" width="41.42578125" style="79" customWidth="1"/>
    <col min="10239" max="10239" width="15.42578125" style="79" customWidth="1"/>
    <col min="10240" max="10240" width="1.140625" style="79" customWidth="1"/>
    <col min="10241" max="10241" width="1.42578125" style="79" customWidth="1"/>
    <col min="10242" max="10242" width="0.5703125" style="79" customWidth="1"/>
    <col min="10243" max="10243" width="39.85546875" style="79" customWidth="1"/>
    <col min="10244" max="10244" width="15.42578125" style="79" bestFit="1" customWidth="1"/>
    <col min="10245" max="10245" width="1.140625" style="79" customWidth="1"/>
    <col min="10246" max="10246" width="8" style="79"/>
    <col min="10247" max="10247" width="20.140625" style="79" customWidth="1"/>
    <col min="10248" max="10492" width="8" style="79"/>
    <col min="10493" max="10493" width="1.5703125" style="79" customWidth="1"/>
    <col min="10494" max="10494" width="41.42578125" style="79" customWidth="1"/>
    <col min="10495" max="10495" width="15.42578125" style="79" customWidth="1"/>
    <col min="10496" max="10496" width="1.140625" style="79" customWidth="1"/>
    <col min="10497" max="10497" width="1.42578125" style="79" customWidth="1"/>
    <col min="10498" max="10498" width="0.5703125" style="79" customWidth="1"/>
    <col min="10499" max="10499" width="39.85546875" style="79" customWidth="1"/>
    <col min="10500" max="10500" width="15.42578125" style="79" bestFit="1" customWidth="1"/>
    <col min="10501" max="10501" width="1.140625" style="79" customWidth="1"/>
    <col min="10502" max="10502" width="8" style="79"/>
    <col min="10503" max="10503" width="20.140625" style="79" customWidth="1"/>
    <col min="10504" max="10748" width="8" style="79"/>
    <col min="10749" max="10749" width="1.5703125" style="79" customWidth="1"/>
    <col min="10750" max="10750" width="41.42578125" style="79" customWidth="1"/>
    <col min="10751" max="10751" width="15.42578125" style="79" customWidth="1"/>
    <col min="10752" max="10752" width="1.140625" style="79" customWidth="1"/>
    <col min="10753" max="10753" width="1.42578125" style="79" customWidth="1"/>
    <col min="10754" max="10754" width="0.5703125" style="79" customWidth="1"/>
    <col min="10755" max="10755" width="39.85546875" style="79" customWidth="1"/>
    <col min="10756" max="10756" width="15.42578125" style="79" bestFit="1" customWidth="1"/>
    <col min="10757" max="10757" width="1.140625" style="79" customWidth="1"/>
    <col min="10758" max="10758" width="8" style="79"/>
    <col min="10759" max="10759" width="20.140625" style="79" customWidth="1"/>
    <col min="10760" max="11004" width="8" style="79"/>
    <col min="11005" max="11005" width="1.5703125" style="79" customWidth="1"/>
    <col min="11006" max="11006" width="41.42578125" style="79" customWidth="1"/>
    <col min="11007" max="11007" width="15.42578125" style="79" customWidth="1"/>
    <col min="11008" max="11008" width="1.140625" style="79" customWidth="1"/>
    <col min="11009" max="11009" width="1.42578125" style="79" customWidth="1"/>
    <col min="11010" max="11010" width="0.5703125" style="79" customWidth="1"/>
    <col min="11011" max="11011" width="39.85546875" style="79" customWidth="1"/>
    <col min="11012" max="11012" width="15.42578125" style="79" bestFit="1" customWidth="1"/>
    <col min="11013" max="11013" width="1.140625" style="79" customWidth="1"/>
    <col min="11014" max="11014" width="8" style="79"/>
    <col min="11015" max="11015" width="20.140625" style="79" customWidth="1"/>
    <col min="11016" max="11260" width="8" style="79"/>
    <col min="11261" max="11261" width="1.5703125" style="79" customWidth="1"/>
    <col min="11262" max="11262" width="41.42578125" style="79" customWidth="1"/>
    <col min="11263" max="11263" width="15.42578125" style="79" customWidth="1"/>
    <col min="11264" max="11264" width="1.140625" style="79" customWidth="1"/>
    <col min="11265" max="11265" width="1.42578125" style="79" customWidth="1"/>
    <col min="11266" max="11266" width="0.5703125" style="79" customWidth="1"/>
    <col min="11267" max="11267" width="39.85546875" style="79" customWidth="1"/>
    <col min="11268" max="11268" width="15.42578125" style="79" bestFit="1" customWidth="1"/>
    <col min="11269" max="11269" width="1.140625" style="79" customWidth="1"/>
    <col min="11270" max="11270" width="8" style="79"/>
    <col min="11271" max="11271" width="20.140625" style="79" customWidth="1"/>
    <col min="11272" max="11516" width="8" style="79"/>
    <col min="11517" max="11517" width="1.5703125" style="79" customWidth="1"/>
    <col min="11518" max="11518" width="41.42578125" style="79" customWidth="1"/>
    <col min="11519" max="11519" width="15.42578125" style="79" customWidth="1"/>
    <col min="11520" max="11520" width="1.140625" style="79" customWidth="1"/>
    <col min="11521" max="11521" width="1.42578125" style="79" customWidth="1"/>
    <col min="11522" max="11522" width="0.5703125" style="79" customWidth="1"/>
    <col min="11523" max="11523" width="39.85546875" style="79" customWidth="1"/>
    <col min="11524" max="11524" width="15.42578125" style="79" bestFit="1" customWidth="1"/>
    <col min="11525" max="11525" width="1.140625" style="79" customWidth="1"/>
    <col min="11526" max="11526" width="8" style="79"/>
    <col min="11527" max="11527" width="20.140625" style="79" customWidth="1"/>
    <col min="11528" max="11772" width="8" style="79"/>
    <col min="11773" max="11773" width="1.5703125" style="79" customWidth="1"/>
    <col min="11774" max="11774" width="41.42578125" style="79" customWidth="1"/>
    <col min="11775" max="11775" width="15.42578125" style="79" customWidth="1"/>
    <col min="11776" max="11776" width="1.140625" style="79" customWidth="1"/>
    <col min="11777" max="11777" width="1.42578125" style="79" customWidth="1"/>
    <col min="11778" max="11778" width="0.5703125" style="79" customWidth="1"/>
    <col min="11779" max="11779" width="39.85546875" style="79" customWidth="1"/>
    <col min="11780" max="11780" width="15.42578125" style="79" bestFit="1" customWidth="1"/>
    <col min="11781" max="11781" width="1.140625" style="79" customWidth="1"/>
    <col min="11782" max="11782" width="8" style="79"/>
    <col min="11783" max="11783" width="20.140625" style="79" customWidth="1"/>
    <col min="11784" max="12028" width="8" style="79"/>
    <col min="12029" max="12029" width="1.5703125" style="79" customWidth="1"/>
    <col min="12030" max="12030" width="41.42578125" style="79" customWidth="1"/>
    <col min="12031" max="12031" width="15.42578125" style="79" customWidth="1"/>
    <col min="12032" max="12032" width="1.140625" style="79" customWidth="1"/>
    <col min="12033" max="12033" width="1.42578125" style="79" customWidth="1"/>
    <col min="12034" max="12034" width="0.5703125" style="79" customWidth="1"/>
    <col min="12035" max="12035" width="39.85546875" style="79" customWidth="1"/>
    <col min="12036" max="12036" width="15.42578125" style="79" bestFit="1" customWidth="1"/>
    <col min="12037" max="12037" width="1.140625" style="79" customWidth="1"/>
    <col min="12038" max="12038" width="8" style="79"/>
    <col min="12039" max="12039" width="20.140625" style="79" customWidth="1"/>
    <col min="12040" max="12284" width="8" style="79"/>
    <col min="12285" max="12285" width="1.5703125" style="79" customWidth="1"/>
    <col min="12286" max="12286" width="41.42578125" style="79" customWidth="1"/>
    <col min="12287" max="12287" width="15.42578125" style="79" customWidth="1"/>
    <col min="12288" max="12288" width="1.140625" style="79" customWidth="1"/>
    <col min="12289" max="12289" width="1.42578125" style="79" customWidth="1"/>
    <col min="12290" max="12290" width="0.5703125" style="79" customWidth="1"/>
    <col min="12291" max="12291" width="39.85546875" style="79" customWidth="1"/>
    <col min="12292" max="12292" width="15.42578125" style="79" bestFit="1" customWidth="1"/>
    <col min="12293" max="12293" width="1.140625" style="79" customWidth="1"/>
    <col min="12294" max="12294" width="8" style="79"/>
    <col min="12295" max="12295" width="20.140625" style="79" customWidth="1"/>
    <col min="12296" max="12540" width="8" style="79"/>
    <col min="12541" max="12541" width="1.5703125" style="79" customWidth="1"/>
    <col min="12542" max="12542" width="41.42578125" style="79" customWidth="1"/>
    <col min="12543" max="12543" width="15.42578125" style="79" customWidth="1"/>
    <col min="12544" max="12544" width="1.140625" style="79" customWidth="1"/>
    <col min="12545" max="12545" width="1.42578125" style="79" customWidth="1"/>
    <col min="12546" max="12546" width="0.5703125" style="79" customWidth="1"/>
    <col min="12547" max="12547" width="39.85546875" style="79" customWidth="1"/>
    <col min="12548" max="12548" width="15.42578125" style="79" bestFit="1" customWidth="1"/>
    <col min="12549" max="12549" width="1.140625" style="79" customWidth="1"/>
    <col min="12550" max="12550" width="8" style="79"/>
    <col min="12551" max="12551" width="20.140625" style="79" customWidth="1"/>
    <col min="12552" max="12796" width="8" style="79"/>
    <col min="12797" max="12797" width="1.5703125" style="79" customWidth="1"/>
    <col min="12798" max="12798" width="41.42578125" style="79" customWidth="1"/>
    <col min="12799" max="12799" width="15.42578125" style="79" customWidth="1"/>
    <col min="12800" max="12800" width="1.140625" style="79" customWidth="1"/>
    <col min="12801" max="12801" width="1.42578125" style="79" customWidth="1"/>
    <col min="12802" max="12802" width="0.5703125" style="79" customWidth="1"/>
    <col min="12803" max="12803" width="39.85546875" style="79" customWidth="1"/>
    <col min="12804" max="12804" width="15.42578125" style="79" bestFit="1" customWidth="1"/>
    <col min="12805" max="12805" width="1.140625" style="79" customWidth="1"/>
    <col min="12806" max="12806" width="8" style="79"/>
    <col min="12807" max="12807" width="20.140625" style="79" customWidth="1"/>
    <col min="12808" max="13052" width="8" style="79"/>
    <col min="13053" max="13053" width="1.5703125" style="79" customWidth="1"/>
    <col min="13054" max="13054" width="41.42578125" style="79" customWidth="1"/>
    <col min="13055" max="13055" width="15.42578125" style="79" customWidth="1"/>
    <col min="13056" max="13056" width="1.140625" style="79" customWidth="1"/>
    <col min="13057" max="13057" width="1.42578125" style="79" customWidth="1"/>
    <col min="13058" max="13058" width="0.5703125" style="79" customWidth="1"/>
    <col min="13059" max="13059" width="39.85546875" style="79" customWidth="1"/>
    <col min="13060" max="13060" width="15.42578125" style="79" bestFit="1" customWidth="1"/>
    <col min="13061" max="13061" width="1.140625" style="79" customWidth="1"/>
    <col min="13062" max="13062" width="8" style="79"/>
    <col min="13063" max="13063" width="20.140625" style="79" customWidth="1"/>
    <col min="13064" max="13308" width="8" style="79"/>
    <col min="13309" max="13309" width="1.5703125" style="79" customWidth="1"/>
    <col min="13310" max="13310" width="41.42578125" style="79" customWidth="1"/>
    <col min="13311" max="13311" width="15.42578125" style="79" customWidth="1"/>
    <col min="13312" max="13312" width="1.140625" style="79" customWidth="1"/>
    <col min="13313" max="13313" width="1.42578125" style="79" customWidth="1"/>
    <col min="13314" max="13314" width="0.5703125" style="79" customWidth="1"/>
    <col min="13315" max="13315" width="39.85546875" style="79" customWidth="1"/>
    <col min="13316" max="13316" width="15.42578125" style="79" bestFit="1" customWidth="1"/>
    <col min="13317" max="13317" width="1.140625" style="79" customWidth="1"/>
    <col min="13318" max="13318" width="8" style="79"/>
    <col min="13319" max="13319" width="20.140625" style="79" customWidth="1"/>
    <col min="13320" max="13564" width="8" style="79"/>
    <col min="13565" max="13565" width="1.5703125" style="79" customWidth="1"/>
    <col min="13566" max="13566" width="41.42578125" style="79" customWidth="1"/>
    <col min="13567" max="13567" width="15.42578125" style="79" customWidth="1"/>
    <col min="13568" max="13568" width="1.140625" style="79" customWidth="1"/>
    <col min="13569" max="13569" width="1.42578125" style="79" customWidth="1"/>
    <col min="13570" max="13570" width="0.5703125" style="79" customWidth="1"/>
    <col min="13571" max="13571" width="39.85546875" style="79" customWidth="1"/>
    <col min="13572" max="13572" width="15.42578125" style="79" bestFit="1" customWidth="1"/>
    <col min="13573" max="13573" width="1.140625" style="79" customWidth="1"/>
    <col min="13574" max="13574" width="8" style="79"/>
    <col min="13575" max="13575" width="20.140625" style="79" customWidth="1"/>
    <col min="13576" max="13820" width="8" style="79"/>
    <col min="13821" max="13821" width="1.5703125" style="79" customWidth="1"/>
    <col min="13822" max="13822" width="41.42578125" style="79" customWidth="1"/>
    <col min="13823" max="13823" width="15.42578125" style="79" customWidth="1"/>
    <col min="13824" max="13824" width="1.140625" style="79" customWidth="1"/>
    <col min="13825" max="13825" width="1.42578125" style="79" customWidth="1"/>
    <col min="13826" max="13826" width="0.5703125" style="79" customWidth="1"/>
    <col min="13827" max="13827" width="39.85546875" style="79" customWidth="1"/>
    <col min="13828" max="13828" width="15.42578125" style="79" bestFit="1" customWidth="1"/>
    <col min="13829" max="13829" width="1.140625" style="79" customWidth="1"/>
    <col min="13830" max="13830" width="8" style="79"/>
    <col min="13831" max="13831" width="20.140625" style="79" customWidth="1"/>
    <col min="13832" max="14076" width="8" style="79"/>
    <col min="14077" max="14077" width="1.5703125" style="79" customWidth="1"/>
    <col min="14078" max="14078" width="41.42578125" style="79" customWidth="1"/>
    <col min="14079" max="14079" width="15.42578125" style="79" customWidth="1"/>
    <col min="14080" max="14080" width="1.140625" style="79" customWidth="1"/>
    <col min="14081" max="14081" width="1.42578125" style="79" customWidth="1"/>
    <col min="14082" max="14082" width="0.5703125" style="79" customWidth="1"/>
    <col min="14083" max="14083" width="39.85546875" style="79" customWidth="1"/>
    <col min="14084" max="14084" width="15.42578125" style="79" bestFit="1" customWidth="1"/>
    <col min="14085" max="14085" width="1.140625" style="79" customWidth="1"/>
    <col min="14086" max="14086" width="8" style="79"/>
    <col min="14087" max="14087" width="20.140625" style="79" customWidth="1"/>
    <col min="14088" max="14332" width="8" style="79"/>
    <col min="14333" max="14333" width="1.5703125" style="79" customWidth="1"/>
    <col min="14334" max="14334" width="41.42578125" style="79" customWidth="1"/>
    <col min="14335" max="14335" width="15.42578125" style="79" customWidth="1"/>
    <col min="14336" max="14336" width="1.140625" style="79" customWidth="1"/>
    <col min="14337" max="14337" width="1.42578125" style="79" customWidth="1"/>
    <col min="14338" max="14338" width="0.5703125" style="79" customWidth="1"/>
    <col min="14339" max="14339" width="39.85546875" style="79" customWidth="1"/>
    <col min="14340" max="14340" width="15.42578125" style="79" bestFit="1" customWidth="1"/>
    <col min="14341" max="14341" width="1.140625" style="79" customWidth="1"/>
    <col min="14342" max="14342" width="8" style="79"/>
    <col min="14343" max="14343" width="20.140625" style="79" customWidth="1"/>
    <col min="14344" max="14588" width="8" style="79"/>
    <col min="14589" max="14589" width="1.5703125" style="79" customWidth="1"/>
    <col min="14590" max="14590" width="41.42578125" style="79" customWidth="1"/>
    <col min="14591" max="14591" width="15.42578125" style="79" customWidth="1"/>
    <col min="14592" max="14592" width="1.140625" style="79" customWidth="1"/>
    <col min="14593" max="14593" width="1.42578125" style="79" customWidth="1"/>
    <col min="14594" max="14594" width="0.5703125" style="79" customWidth="1"/>
    <col min="14595" max="14595" width="39.85546875" style="79" customWidth="1"/>
    <col min="14596" max="14596" width="15.42578125" style="79" bestFit="1" customWidth="1"/>
    <col min="14597" max="14597" width="1.140625" style="79" customWidth="1"/>
    <col min="14598" max="14598" width="8" style="79"/>
    <col min="14599" max="14599" width="20.140625" style="79" customWidth="1"/>
    <col min="14600" max="14844" width="8" style="79"/>
    <col min="14845" max="14845" width="1.5703125" style="79" customWidth="1"/>
    <col min="14846" max="14846" width="41.42578125" style="79" customWidth="1"/>
    <col min="14847" max="14847" width="15.42578125" style="79" customWidth="1"/>
    <col min="14848" max="14848" width="1.140625" style="79" customWidth="1"/>
    <col min="14849" max="14849" width="1.42578125" style="79" customWidth="1"/>
    <col min="14850" max="14850" width="0.5703125" style="79" customWidth="1"/>
    <col min="14851" max="14851" width="39.85546875" style="79" customWidth="1"/>
    <col min="14852" max="14852" width="15.42578125" style="79" bestFit="1" customWidth="1"/>
    <col min="14853" max="14853" width="1.140625" style="79" customWidth="1"/>
    <col min="14854" max="14854" width="8" style="79"/>
    <col min="14855" max="14855" width="20.140625" style="79" customWidth="1"/>
    <col min="14856" max="15100" width="8" style="79"/>
    <col min="15101" max="15101" width="1.5703125" style="79" customWidth="1"/>
    <col min="15102" max="15102" width="41.42578125" style="79" customWidth="1"/>
    <col min="15103" max="15103" width="15.42578125" style="79" customWidth="1"/>
    <col min="15104" max="15104" width="1.140625" style="79" customWidth="1"/>
    <col min="15105" max="15105" width="1.42578125" style="79" customWidth="1"/>
    <col min="15106" max="15106" width="0.5703125" style="79" customWidth="1"/>
    <col min="15107" max="15107" width="39.85546875" style="79" customWidth="1"/>
    <col min="15108" max="15108" width="15.42578125" style="79" bestFit="1" customWidth="1"/>
    <col min="15109" max="15109" width="1.140625" style="79" customWidth="1"/>
    <col min="15110" max="15110" width="8" style="79"/>
    <col min="15111" max="15111" width="20.140625" style="79" customWidth="1"/>
    <col min="15112" max="15356" width="8" style="79"/>
    <col min="15357" max="15357" width="1.5703125" style="79" customWidth="1"/>
    <col min="15358" max="15358" width="41.42578125" style="79" customWidth="1"/>
    <col min="15359" max="15359" width="15.42578125" style="79" customWidth="1"/>
    <col min="15360" max="15360" width="1.140625" style="79" customWidth="1"/>
    <col min="15361" max="15361" width="1.42578125" style="79" customWidth="1"/>
    <col min="15362" max="15362" width="0.5703125" style="79" customWidth="1"/>
    <col min="15363" max="15363" width="39.85546875" style="79" customWidth="1"/>
    <col min="15364" max="15364" width="15.42578125" style="79" bestFit="1" customWidth="1"/>
    <col min="15365" max="15365" width="1.140625" style="79" customWidth="1"/>
    <col min="15366" max="15366" width="8" style="79"/>
    <col min="15367" max="15367" width="20.140625" style="79" customWidth="1"/>
    <col min="15368" max="15612" width="8" style="79"/>
    <col min="15613" max="15613" width="1.5703125" style="79" customWidth="1"/>
    <col min="15614" max="15614" width="41.42578125" style="79" customWidth="1"/>
    <col min="15615" max="15615" width="15.42578125" style="79" customWidth="1"/>
    <col min="15616" max="15616" width="1.140625" style="79" customWidth="1"/>
    <col min="15617" max="15617" width="1.42578125" style="79" customWidth="1"/>
    <col min="15618" max="15618" width="0.5703125" style="79" customWidth="1"/>
    <col min="15619" max="15619" width="39.85546875" style="79" customWidth="1"/>
    <col min="15620" max="15620" width="15.42578125" style="79" bestFit="1" customWidth="1"/>
    <col min="15621" max="15621" width="1.140625" style="79" customWidth="1"/>
    <col min="15622" max="15622" width="8" style="79"/>
    <col min="15623" max="15623" width="20.140625" style="79" customWidth="1"/>
    <col min="15624" max="15868" width="8" style="79"/>
    <col min="15869" max="15869" width="1.5703125" style="79" customWidth="1"/>
    <col min="15870" max="15870" width="41.42578125" style="79" customWidth="1"/>
    <col min="15871" max="15871" width="15.42578125" style="79" customWidth="1"/>
    <col min="15872" max="15872" width="1.140625" style="79" customWidth="1"/>
    <col min="15873" max="15873" width="1.42578125" style="79" customWidth="1"/>
    <col min="15874" max="15874" width="0.5703125" style="79" customWidth="1"/>
    <col min="15875" max="15875" width="39.85546875" style="79" customWidth="1"/>
    <col min="15876" max="15876" width="15.42578125" style="79" bestFit="1" customWidth="1"/>
    <col min="15877" max="15877" width="1.140625" style="79" customWidth="1"/>
    <col min="15878" max="15878" width="8" style="79"/>
    <col min="15879" max="15879" width="20.140625" style="79" customWidth="1"/>
    <col min="15880" max="16124" width="8" style="79"/>
    <col min="16125" max="16125" width="1.5703125" style="79" customWidth="1"/>
    <col min="16126" max="16126" width="41.42578125" style="79" customWidth="1"/>
    <col min="16127" max="16127" width="15.42578125" style="79" customWidth="1"/>
    <col min="16128" max="16128" width="1.140625" style="79" customWidth="1"/>
    <col min="16129" max="16129" width="1.42578125" style="79" customWidth="1"/>
    <col min="16130" max="16130" width="0.5703125" style="79" customWidth="1"/>
    <col min="16131" max="16131" width="39.85546875" style="79" customWidth="1"/>
    <col min="16132" max="16132" width="15.42578125" style="79" bestFit="1" customWidth="1"/>
    <col min="16133" max="16133" width="1.140625" style="79" customWidth="1"/>
    <col min="16134" max="16134" width="8" style="79"/>
    <col min="16135" max="16135" width="20.140625" style="79" customWidth="1"/>
    <col min="16136" max="16384" width="8" style="79"/>
  </cols>
  <sheetData>
    <row r="1" spans="1:8" ht="13.5" thickBot="1">
      <c r="A1" s="546" t="s">
        <v>541</v>
      </c>
      <c r="B1" s="547"/>
      <c r="C1" s="547"/>
      <c r="D1" s="547"/>
      <c r="E1" s="547"/>
      <c r="F1" s="547"/>
      <c r="G1" s="547"/>
      <c r="H1" s="547"/>
    </row>
    <row r="2" spans="1:8" ht="13.5" thickTop="1">
      <c r="A2" s="548" t="s">
        <v>419</v>
      </c>
      <c r="B2" s="549"/>
      <c r="C2" s="549"/>
      <c r="D2" s="549"/>
      <c r="E2" s="549"/>
      <c r="F2" s="549"/>
      <c r="G2" s="549"/>
      <c r="H2" s="549"/>
    </row>
    <row r="3" spans="1:8">
      <c r="A3" s="550" t="s">
        <v>543</v>
      </c>
      <c r="B3" s="551"/>
      <c r="C3" s="551"/>
      <c r="D3" s="551"/>
      <c r="E3" s="551"/>
      <c r="F3" s="551"/>
      <c r="G3" s="551"/>
      <c r="H3" s="551"/>
    </row>
    <row r="4" spans="1:8">
      <c r="A4" s="310"/>
      <c r="B4" s="311"/>
      <c r="C4" s="311"/>
      <c r="D4" s="311"/>
      <c r="E4" s="311"/>
      <c r="F4" s="311"/>
      <c r="G4" s="311"/>
      <c r="H4" s="311"/>
    </row>
    <row r="5" spans="1:8">
      <c r="A5" s="81"/>
      <c r="B5" s="82"/>
      <c r="C5" s="146"/>
      <c r="D5" s="82"/>
      <c r="E5" s="82"/>
      <c r="F5" s="82"/>
      <c r="G5" s="82"/>
      <c r="H5" s="82"/>
    </row>
    <row r="6" spans="1:8" ht="15">
      <c r="A6" s="83"/>
      <c r="B6" s="84" t="s">
        <v>564</v>
      </c>
      <c r="C6" s="147"/>
      <c r="D6" s="85"/>
      <c r="E6" s="86"/>
      <c r="F6" s="83"/>
      <c r="G6" s="421" t="s">
        <v>563</v>
      </c>
      <c r="H6" s="85"/>
    </row>
    <row r="7" spans="1:8" ht="15">
      <c r="A7" s="87"/>
      <c r="B7" s="88"/>
      <c r="C7" s="148"/>
      <c r="D7" s="89"/>
      <c r="E7" s="90"/>
      <c r="F7" s="87"/>
      <c r="G7" s="91"/>
      <c r="H7" s="94"/>
    </row>
    <row r="8" spans="1:8">
      <c r="A8" s="93"/>
      <c r="B8" s="90" t="s">
        <v>364</v>
      </c>
      <c r="C8" s="145">
        <f>'STATEMENT 2'!J502</f>
        <v>572461288759.69983</v>
      </c>
      <c r="D8" s="94"/>
      <c r="E8" s="92"/>
      <c r="F8" s="95"/>
      <c r="G8" s="98" t="s">
        <v>562</v>
      </c>
      <c r="H8" s="441"/>
    </row>
    <row r="9" spans="1:8">
      <c r="A9" s="93"/>
      <c r="B9" s="90" t="s">
        <v>365</v>
      </c>
      <c r="C9" s="145">
        <f>'STATEMENT 1'!G36</f>
        <v>94185200000.422226</v>
      </c>
      <c r="D9" s="94"/>
      <c r="E9" s="92"/>
      <c r="F9" s="95"/>
      <c r="G9" s="90"/>
      <c r="H9" s="441"/>
    </row>
    <row r="10" spans="1:8">
      <c r="A10" s="93"/>
      <c r="B10" s="90" t="s">
        <v>416</v>
      </c>
      <c r="C10" s="145">
        <f>'STATEMENT 2'!J506</f>
        <v>148700000</v>
      </c>
      <c r="D10" s="94"/>
      <c r="E10" s="92"/>
      <c r="F10" s="95"/>
      <c r="G10" s="90" t="s">
        <v>420</v>
      </c>
      <c r="H10" s="441">
        <v>300088466000</v>
      </c>
    </row>
    <row r="11" spans="1:8">
      <c r="A11" s="93"/>
      <c r="B11" s="90"/>
      <c r="C11" s="145"/>
      <c r="D11" s="94"/>
      <c r="E11" s="92"/>
      <c r="F11" s="95"/>
      <c r="G11" s="90" t="s">
        <v>421</v>
      </c>
      <c r="H11" s="441">
        <v>476491103000</v>
      </c>
    </row>
    <row r="12" spans="1:8" ht="13.5" thickBot="1">
      <c r="A12" s="93"/>
      <c r="B12" s="96" t="s">
        <v>187</v>
      </c>
      <c r="C12" s="149">
        <f>SUM(C8:C10)</f>
        <v>666795188760.12207</v>
      </c>
      <c r="D12" s="97"/>
      <c r="E12" s="92"/>
      <c r="F12" s="95"/>
      <c r="G12" s="90" t="s">
        <v>422</v>
      </c>
      <c r="H12" s="442"/>
    </row>
    <row r="13" spans="1:8" ht="13.5" thickTop="1">
      <c r="A13" s="93"/>
      <c r="B13" s="90"/>
      <c r="C13" s="145"/>
      <c r="D13" s="94"/>
      <c r="E13" s="92"/>
      <c r="F13" s="95"/>
      <c r="G13" s="90"/>
      <c r="H13" s="442"/>
    </row>
    <row r="14" spans="1:8" ht="13.5" thickBot="1">
      <c r="A14" s="93"/>
      <c r="B14" s="90" t="s">
        <v>422</v>
      </c>
      <c r="C14" s="145"/>
      <c r="D14" s="94"/>
      <c r="E14" s="92"/>
      <c r="F14" s="95"/>
      <c r="G14" s="96" t="s">
        <v>187</v>
      </c>
      <c r="H14" s="443">
        <f>+H10+H11</f>
        <v>776579569000</v>
      </c>
    </row>
    <row r="15" spans="1:8" ht="13.5" thickTop="1">
      <c r="A15" s="93"/>
      <c r="B15" s="90" t="s">
        <v>186</v>
      </c>
      <c r="C15" s="145">
        <f>'STATEMENT 2'!J504</f>
        <v>4445119057.0500002</v>
      </c>
      <c r="D15" s="94"/>
      <c r="E15" s="92"/>
      <c r="F15" s="95"/>
      <c r="G15" s="90"/>
      <c r="H15" s="442"/>
    </row>
    <row r="16" spans="1:8">
      <c r="A16" s="93"/>
      <c r="B16" s="90"/>
      <c r="C16" s="145"/>
      <c r="D16" s="94"/>
      <c r="E16" s="92"/>
      <c r="F16" s="95"/>
      <c r="G16" s="90"/>
      <c r="H16" s="442"/>
    </row>
    <row r="17" spans="1:10">
      <c r="A17" s="93"/>
      <c r="B17" s="90" t="s">
        <v>582</v>
      </c>
      <c r="C17" s="422">
        <v>5776800000</v>
      </c>
      <c r="D17" s="94"/>
      <c r="E17" s="92"/>
      <c r="F17" s="95"/>
      <c r="G17" s="90"/>
      <c r="H17" s="442"/>
    </row>
    <row r="18" spans="1:10">
      <c r="A18" s="93"/>
      <c r="B18" s="90"/>
      <c r="C18" s="145"/>
      <c r="D18" s="94"/>
      <c r="E18" s="92"/>
      <c r="F18" s="95"/>
      <c r="G18" s="90"/>
      <c r="H18" s="442"/>
    </row>
    <row r="19" spans="1:10">
      <c r="A19" s="93"/>
      <c r="B19" s="96" t="s">
        <v>423</v>
      </c>
      <c r="C19" s="145"/>
      <c r="D19" s="94"/>
      <c r="E19" s="92"/>
      <c r="F19" s="95"/>
      <c r="G19" s="98" t="s">
        <v>577</v>
      </c>
      <c r="H19" s="444"/>
    </row>
    <row r="20" spans="1:10">
      <c r="A20" s="93"/>
      <c r="C20" s="150"/>
      <c r="D20" s="100"/>
      <c r="E20" s="99"/>
      <c r="F20" s="101"/>
      <c r="G20" s="90"/>
      <c r="H20" s="442"/>
    </row>
    <row r="21" spans="1:10">
      <c r="A21" s="93"/>
      <c r="B21" s="96" t="s">
        <v>424</v>
      </c>
      <c r="C21" s="151"/>
      <c r="D21" s="97"/>
      <c r="E21" s="102"/>
      <c r="F21" s="103"/>
      <c r="G21" s="90" t="s">
        <v>420</v>
      </c>
      <c r="H21" s="441"/>
    </row>
    <row r="22" spans="1:10">
      <c r="A22" s="93"/>
      <c r="C22" s="145"/>
      <c r="D22" s="80"/>
      <c r="E22" s="92"/>
      <c r="F22" s="95"/>
      <c r="G22" s="90" t="s">
        <v>421</v>
      </c>
      <c r="H22" s="442">
        <v>54201318000</v>
      </c>
      <c r="J22" s="92"/>
    </row>
    <row r="23" spans="1:10">
      <c r="A23" s="104"/>
      <c r="B23" s="79" t="s">
        <v>425</v>
      </c>
      <c r="C23" s="145">
        <f>'STATEMENT 2'!J469</f>
        <v>22302000000</v>
      </c>
      <c r="D23" s="94"/>
      <c r="E23" s="92"/>
      <c r="F23" s="95"/>
      <c r="G23" s="105"/>
      <c r="H23" s="446"/>
    </row>
    <row r="24" spans="1:10">
      <c r="A24" s="93"/>
      <c r="B24" s="79" t="s">
        <v>426</v>
      </c>
      <c r="C24" s="145"/>
      <c r="D24" s="94"/>
      <c r="E24" s="92"/>
      <c r="F24" s="95"/>
      <c r="H24" s="442"/>
    </row>
    <row r="25" spans="1:10">
      <c r="A25" s="93"/>
      <c r="B25" s="90" t="s">
        <v>427</v>
      </c>
      <c r="C25" s="145">
        <f>'STATEMENT 2'!J482</f>
        <v>18024100000</v>
      </c>
      <c r="D25" s="106"/>
      <c r="E25" s="92"/>
      <c r="F25" s="95"/>
      <c r="G25" s="90"/>
      <c r="H25" s="442"/>
    </row>
    <row r="26" spans="1:10">
      <c r="A26" s="93"/>
      <c r="B26" s="90"/>
      <c r="C26" s="145"/>
      <c r="D26" s="106"/>
      <c r="E26" s="92"/>
      <c r="F26" s="95"/>
      <c r="G26" s="90"/>
      <c r="H26" s="442"/>
    </row>
    <row r="27" spans="1:10">
      <c r="A27" s="93"/>
      <c r="B27" s="107" t="s">
        <v>409</v>
      </c>
      <c r="C27" s="151">
        <f>SUM(C23+C25)</f>
        <v>40326100000</v>
      </c>
      <c r="D27" s="97"/>
      <c r="E27" s="92"/>
      <c r="F27" s="95"/>
      <c r="G27" s="90"/>
      <c r="H27" s="442"/>
    </row>
    <row r="28" spans="1:10">
      <c r="A28" s="93"/>
      <c r="C28" s="145"/>
      <c r="D28" s="80"/>
      <c r="E28" s="102"/>
      <c r="F28" s="103"/>
      <c r="G28" s="96"/>
      <c r="H28" s="445"/>
    </row>
    <row r="29" spans="1:10">
      <c r="A29" s="93"/>
      <c r="B29" s="96" t="s">
        <v>428</v>
      </c>
      <c r="C29" s="151">
        <f>'STATEMENT 2'!J489</f>
        <v>89979500000</v>
      </c>
      <c r="D29" s="97"/>
      <c r="E29" s="92"/>
      <c r="F29" s="95"/>
      <c r="H29" s="442"/>
    </row>
    <row r="30" spans="1:10">
      <c r="A30" s="93"/>
      <c r="C30" s="145"/>
      <c r="D30" s="80"/>
      <c r="E30" s="102"/>
      <c r="F30" s="103"/>
      <c r="G30" s="90"/>
      <c r="H30" s="442"/>
    </row>
    <row r="31" spans="1:10">
      <c r="A31" s="93"/>
      <c r="B31" s="96" t="s">
        <v>581</v>
      </c>
      <c r="C31" s="151">
        <f>C29+C27</f>
        <v>130305600000</v>
      </c>
      <c r="D31" s="97"/>
      <c r="E31" s="92"/>
      <c r="F31" s="95"/>
      <c r="H31" s="442"/>
    </row>
    <row r="32" spans="1:10">
      <c r="A32" s="93"/>
      <c r="C32" s="145"/>
      <c r="D32" s="80"/>
      <c r="E32" s="102"/>
      <c r="F32" s="103"/>
      <c r="H32" s="442"/>
    </row>
    <row r="33" spans="1:8">
      <c r="A33" s="93"/>
      <c r="B33" s="486" t="s">
        <v>680</v>
      </c>
      <c r="C33" s="145">
        <v>23458179182.830002</v>
      </c>
      <c r="D33" s="109"/>
      <c r="E33" s="108"/>
      <c r="F33" s="110"/>
      <c r="H33" s="442"/>
    </row>
    <row r="34" spans="1:8">
      <c r="A34" s="93"/>
      <c r="C34" s="145"/>
      <c r="D34" s="109"/>
      <c r="E34" s="108"/>
      <c r="F34" s="110"/>
      <c r="H34" s="442"/>
    </row>
    <row r="35" spans="1:8">
      <c r="A35" s="93"/>
      <c r="C35" s="145"/>
      <c r="D35" s="109"/>
      <c r="E35" s="108"/>
      <c r="F35" s="110"/>
      <c r="H35" s="442"/>
    </row>
    <row r="36" spans="1:8">
      <c r="A36" s="93"/>
      <c r="C36" s="145"/>
      <c r="D36" s="109"/>
      <c r="E36" s="108"/>
      <c r="F36" s="110"/>
      <c r="H36" s="442"/>
    </row>
    <row r="37" spans="1:8">
      <c r="A37" s="93"/>
      <c r="C37" s="145"/>
      <c r="D37" s="109"/>
      <c r="E37" s="108"/>
      <c r="F37" s="110"/>
      <c r="H37" s="442"/>
    </row>
    <row r="38" spans="1:8">
      <c r="A38" s="93"/>
      <c r="C38" s="145"/>
      <c r="D38" s="109"/>
      <c r="E38" s="108"/>
      <c r="F38" s="110"/>
      <c r="H38" s="442"/>
    </row>
    <row r="39" spans="1:8">
      <c r="A39" s="93"/>
      <c r="C39" s="145"/>
      <c r="D39" s="109"/>
      <c r="E39" s="108"/>
      <c r="F39" s="110"/>
      <c r="H39" s="442"/>
    </row>
    <row r="40" spans="1:8">
      <c r="A40" s="93"/>
      <c r="C40" s="145"/>
      <c r="D40" s="109"/>
      <c r="E40" s="108"/>
      <c r="F40" s="110"/>
      <c r="H40" s="442"/>
    </row>
    <row r="41" spans="1:8">
      <c r="A41" s="93"/>
      <c r="C41" s="145"/>
      <c r="D41" s="109"/>
      <c r="E41" s="108"/>
      <c r="F41" s="110"/>
      <c r="H41" s="442"/>
    </row>
    <row r="42" spans="1:8">
      <c r="A42" s="93"/>
      <c r="C42" s="145"/>
      <c r="D42" s="109"/>
      <c r="E42" s="108"/>
      <c r="F42" s="110"/>
      <c r="H42" s="442"/>
    </row>
    <row r="43" spans="1:8">
      <c r="A43" s="93"/>
      <c r="C43" s="145"/>
      <c r="D43" s="109"/>
      <c r="E43" s="108"/>
      <c r="F43" s="110"/>
      <c r="H43" s="442"/>
    </row>
    <row r="44" spans="1:8">
      <c r="A44" s="93"/>
      <c r="C44" s="145"/>
      <c r="D44" s="109"/>
      <c r="E44" s="108"/>
      <c r="F44" s="110"/>
      <c r="H44" s="442"/>
    </row>
    <row r="45" spans="1:8">
      <c r="A45" s="93"/>
      <c r="C45" s="145"/>
      <c r="D45" s="109"/>
      <c r="E45" s="108"/>
      <c r="F45" s="110"/>
      <c r="H45" s="442"/>
    </row>
    <row r="46" spans="1:8">
      <c r="A46" s="93"/>
      <c r="C46" s="145"/>
      <c r="D46" s="109"/>
      <c r="E46" s="108"/>
      <c r="F46" s="110"/>
      <c r="H46" s="442"/>
    </row>
    <row r="47" spans="1:8">
      <c r="A47" s="93"/>
      <c r="C47" s="145"/>
      <c r="D47" s="109"/>
      <c r="E47" s="108"/>
      <c r="F47" s="110"/>
      <c r="H47" s="442"/>
    </row>
    <row r="48" spans="1:8">
      <c r="A48" s="93"/>
      <c r="C48" s="145"/>
      <c r="D48" s="109"/>
      <c r="E48" s="108"/>
      <c r="F48" s="110"/>
      <c r="H48" s="442"/>
    </row>
    <row r="49" spans="1:8">
      <c r="A49" s="93"/>
      <c r="C49" s="145"/>
      <c r="D49" s="109"/>
      <c r="E49" s="108"/>
      <c r="F49" s="110"/>
      <c r="H49" s="442"/>
    </row>
    <row r="50" spans="1:8">
      <c r="A50" s="93"/>
      <c r="C50" s="145"/>
      <c r="D50" s="109"/>
      <c r="E50" s="108"/>
      <c r="F50" s="110"/>
      <c r="H50" s="442"/>
    </row>
    <row r="51" spans="1:8" ht="13.5" thickBot="1">
      <c r="A51" s="93"/>
      <c r="B51" s="96" t="s">
        <v>187</v>
      </c>
      <c r="C51" s="149">
        <f>C31+C17+C15+C14+C12+C33</f>
        <v>830780887000.00208</v>
      </c>
      <c r="D51" s="97"/>
      <c r="E51" s="108"/>
      <c r="F51" s="110"/>
      <c r="G51" s="96" t="s">
        <v>187</v>
      </c>
      <c r="H51" s="443">
        <f>H21+H22+H23+H14</f>
        <v>830780887000</v>
      </c>
    </row>
    <row r="52" spans="1:8" ht="13.5" thickTop="1">
      <c r="A52" s="111"/>
      <c r="B52" s="112"/>
      <c r="C52" s="152"/>
      <c r="D52" s="113"/>
      <c r="F52" s="111"/>
      <c r="G52" s="112"/>
      <c r="H52" s="113"/>
    </row>
  </sheetData>
  <mergeCells count="3">
    <mergeCell ref="A1:H1"/>
    <mergeCell ref="A2:H2"/>
    <mergeCell ref="A3:H3"/>
  </mergeCells>
  <printOptions horizontalCentered="1"/>
  <pageMargins left="0.17" right="0.17" top="0.53" bottom="0.54" header="0.3" footer="0.3"/>
  <pageSetup scale="70" firstPageNumber="14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35"/>
  <sheetViews>
    <sheetView zoomScale="70" zoomScaleNormal="70" workbookViewId="0">
      <selection sqref="A1:M1"/>
    </sheetView>
  </sheetViews>
  <sheetFormatPr defaultColWidth="9.140625" defaultRowHeight="12.75"/>
  <cols>
    <col min="1" max="1" width="9" style="391" customWidth="1"/>
    <col min="2" max="2" width="1.140625" style="342" customWidth="1"/>
    <col min="3" max="3" width="30" style="342" customWidth="1"/>
    <col min="4" max="4" width="0.85546875" style="345" customWidth="1"/>
    <col min="5" max="5" width="0.85546875" style="342" customWidth="1"/>
    <col min="6" max="6" width="34.42578125" style="342" customWidth="1"/>
    <col min="7" max="7" width="2.85546875" style="345" customWidth="1"/>
    <col min="8" max="8" width="1.42578125" style="342" customWidth="1"/>
    <col min="9" max="9" width="20.85546875" style="344" customWidth="1"/>
    <col min="10" max="10" width="0.85546875" style="345" customWidth="1"/>
    <col min="11" max="11" width="0.85546875" style="342" customWidth="1"/>
    <col min="12" max="12" width="29.5703125" style="342" customWidth="1"/>
    <col min="13" max="13" width="1.5703125" style="345" customWidth="1"/>
    <col min="14" max="14" width="9.140625" style="342"/>
    <col min="15" max="15" width="12" style="342" bestFit="1" customWidth="1"/>
    <col min="16" max="16" width="9.140625" style="342"/>
    <col min="17" max="17" width="13.85546875" style="342" bestFit="1" customWidth="1"/>
    <col min="18" max="18" width="9.140625" style="342"/>
    <col min="19" max="19" width="14.140625" style="342" bestFit="1" customWidth="1"/>
    <col min="20" max="256" width="9.140625" style="342"/>
    <col min="257" max="257" width="9" style="342" customWidth="1"/>
    <col min="258" max="258" width="1.140625" style="342" customWidth="1"/>
    <col min="259" max="259" width="23.5703125" style="342" customWidth="1"/>
    <col min="260" max="261" width="0.85546875" style="342" customWidth="1"/>
    <col min="262" max="262" width="33" style="342" customWidth="1"/>
    <col min="263" max="264" width="0.85546875" style="342" customWidth="1"/>
    <col min="265" max="265" width="15.140625" style="342" bestFit="1" customWidth="1"/>
    <col min="266" max="267" width="0.85546875" style="342" customWidth="1"/>
    <col min="268" max="268" width="29.5703125" style="342" customWidth="1"/>
    <col min="269" max="269" width="1.5703125" style="342" customWidth="1"/>
    <col min="270" max="272" width="9.140625" style="342"/>
    <col min="273" max="273" width="13.85546875" style="342" bestFit="1" customWidth="1"/>
    <col min="274" max="274" width="9.140625" style="342"/>
    <col min="275" max="275" width="14.140625" style="342" bestFit="1" customWidth="1"/>
    <col min="276" max="512" width="9.140625" style="342"/>
    <col min="513" max="513" width="9" style="342" customWidth="1"/>
    <col min="514" max="514" width="1.140625" style="342" customWidth="1"/>
    <col min="515" max="515" width="23.5703125" style="342" customWidth="1"/>
    <col min="516" max="517" width="0.85546875" style="342" customWidth="1"/>
    <col min="518" max="518" width="33" style="342" customWidth="1"/>
    <col min="519" max="520" width="0.85546875" style="342" customWidth="1"/>
    <col min="521" max="521" width="15.140625" style="342" bestFit="1" customWidth="1"/>
    <col min="522" max="523" width="0.85546875" style="342" customWidth="1"/>
    <col min="524" max="524" width="29.5703125" style="342" customWidth="1"/>
    <col min="525" max="525" width="1.5703125" style="342" customWidth="1"/>
    <col min="526" max="528" width="9.140625" style="342"/>
    <col min="529" max="529" width="13.85546875" style="342" bestFit="1" customWidth="1"/>
    <col min="530" max="530" width="9.140625" style="342"/>
    <col min="531" max="531" width="14.140625" style="342" bestFit="1" customWidth="1"/>
    <col min="532" max="768" width="9.140625" style="342"/>
    <col min="769" max="769" width="9" style="342" customWidth="1"/>
    <col min="770" max="770" width="1.140625" style="342" customWidth="1"/>
    <col min="771" max="771" width="23.5703125" style="342" customWidth="1"/>
    <col min="772" max="773" width="0.85546875" style="342" customWidth="1"/>
    <col min="774" max="774" width="33" style="342" customWidth="1"/>
    <col min="775" max="776" width="0.85546875" style="342" customWidth="1"/>
    <col min="777" max="777" width="15.140625" style="342" bestFit="1" customWidth="1"/>
    <col min="778" max="779" width="0.85546875" style="342" customWidth="1"/>
    <col min="780" max="780" width="29.5703125" style="342" customWidth="1"/>
    <col min="781" max="781" width="1.5703125" style="342" customWidth="1"/>
    <col min="782" max="784" width="9.140625" style="342"/>
    <col min="785" max="785" width="13.85546875" style="342" bestFit="1" customWidth="1"/>
    <col min="786" max="786" width="9.140625" style="342"/>
    <col min="787" max="787" width="14.140625" style="342" bestFit="1" customWidth="1"/>
    <col min="788" max="1024" width="9.140625" style="342"/>
    <col min="1025" max="1025" width="9" style="342" customWidth="1"/>
    <col min="1026" max="1026" width="1.140625" style="342" customWidth="1"/>
    <col min="1027" max="1027" width="23.5703125" style="342" customWidth="1"/>
    <col min="1028" max="1029" width="0.85546875" style="342" customWidth="1"/>
    <col min="1030" max="1030" width="33" style="342" customWidth="1"/>
    <col min="1031" max="1032" width="0.85546875" style="342" customWidth="1"/>
    <col min="1033" max="1033" width="15.140625" style="342" bestFit="1" customWidth="1"/>
    <col min="1034" max="1035" width="0.85546875" style="342" customWidth="1"/>
    <col min="1036" max="1036" width="29.5703125" style="342" customWidth="1"/>
    <col min="1037" max="1037" width="1.5703125" style="342" customWidth="1"/>
    <col min="1038" max="1040" width="9.140625" style="342"/>
    <col min="1041" max="1041" width="13.85546875" style="342" bestFit="1" customWidth="1"/>
    <col min="1042" max="1042" width="9.140625" style="342"/>
    <col min="1043" max="1043" width="14.140625" style="342" bestFit="1" customWidth="1"/>
    <col min="1044" max="1280" width="9.140625" style="342"/>
    <col min="1281" max="1281" width="9" style="342" customWidth="1"/>
    <col min="1282" max="1282" width="1.140625" style="342" customWidth="1"/>
    <col min="1283" max="1283" width="23.5703125" style="342" customWidth="1"/>
    <col min="1284" max="1285" width="0.85546875" style="342" customWidth="1"/>
    <col min="1286" max="1286" width="33" style="342" customWidth="1"/>
    <col min="1287" max="1288" width="0.85546875" style="342" customWidth="1"/>
    <col min="1289" max="1289" width="15.140625" style="342" bestFit="1" customWidth="1"/>
    <col min="1290" max="1291" width="0.85546875" style="342" customWidth="1"/>
    <col min="1292" max="1292" width="29.5703125" style="342" customWidth="1"/>
    <col min="1293" max="1293" width="1.5703125" style="342" customWidth="1"/>
    <col min="1294" max="1296" width="9.140625" style="342"/>
    <col min="1297" max="1297" width="13.85546875" style="342" bestFit="1" customWidth="1"/>
    <col min="1298" max="1298" width="9.140625" style="342"/>
    <col min="1299" max="1299" width="14.140625" style="342" bestFit="1" customWidth="1"/>
    <col min="1300" max="1536" width="9.140625" style="342"/>
    <col min="1537" max="1537" width="9" style="342" customWidth="1"/>
    <col min="1538" max="1538" width="1.140625" style="342" customWidth="1"/>
    <col min="1539" max="1539" width="23.5703125" style="342" customWidth="1"/>
    <col min="1540" max="1541" width="0.85546875" style="342" customWidth="1"/>
    <col min="1542" max="1542" width="33" style="342" customWidth="1"/>
    <col min="1543" max="1544" width="0.85546875" style="342" customWidth="1"/>
    <col min="1545" max="1545" width="15.140625" style="342" bestFit="1" customWidth="1"/>
    <col min="1546" max="1547" width="0.85546875" style="342" customWidth="1"/>
    <col min="1548" max="1548" width="29.5703125" style="342" customWidth="1"/>
    <col min="1549" max="1549" width="1.5703125" style="342" customWidth="1"/>
    <col min="1550" max="1552" width="9.140625" style="342"/>
    <col min="1553" max="1553" width="13.85546875" style="342" bestFit="1" customWidth="1"/>
    <col min="1554" max="1554" width="9.140625" style="342"/>
    <col min="1555" max="1555" width="14.140625" style="342" bestFit="1" customWidth="1"/>
    <col min="1556" max="1792" width="9.140625" style="342"/>
    <col min="1793" max="1793" width="9" style="342" customWidth="1"/>
    <col min="1794" max="1794" width="1.140625" style="342" customWidth="1"/>
    <col min="1795" max="1795" width="23.5703125" style="342" customWidth="1"/>
    <col min="1796" max="1797" width="0.85546875" style="342" customWidth="1"/>
    <col min="1798" max="1798" width="33" style="342" customWidth="1"/>
    <col min="1799" max="1800" width="0.85546875" style="342" customWidth="1"/>
    <col min="1801" max="1801" width="15.140625" style="342" bestFit="1" customWidth="1"/>
    <col min="1802" max="1803" width="0.85546875" style="342" customWidth="1"/>
    <col min="1804" max="1804" width="29.5703125" style="342" customWidth="1"/>
    <col min="1805" max="1805" width="1.5703125" style="342" customWidth="1"/>
    <col min="1806" max="1808" width="9.140625" style="342"/>
    <col min="1809" max="1809" width="13.85546875" style="342" bestFit="1" customWidth="1"/>
    <col min="1810" max="1810" width="9.140625" style="342"/>
    <col min="1811" max="1811" width="14.140625" style="342" bestFit="1" customWidth="1"/>
    <col min="1812" max="2048" width="9.140625" style="342"/>
    <col min="2049" max="2049" width="9" style="342" customWidth="1"/>
    <col min="2050" max="2050" width="1.140625" style="342" customWidth="1"/>
    <col min="2051" max="2051" width="23.5703125" style="342" customWidth="1"/>
    <col min="2052" max="2053" width="0.85546875" style="342" customWidth="1"/>
    <col min="2054" max="2054" width="33" style="342" customWidth="1"/>
    <col min="2055" max="2056" width="0.85546875" style="342" customWidth="1"/>
    <col min="2057" max="2057" width="15.140625" style="342" bestFit="1" customWidth="1"/>
    <col min="2058" max="2059" width="0.85546875" style="342" customWidth="1"/>
    <col min="2060" max="2060" width="29.5703125" style="342" customWidth="1"/>
    <col min="2061" max="2061" width="1.5703125" style="342" customWidth="1"/>
    <col min="2062" max="2064" width="9.140625" style="342"/>
    <col min="2065" max="2065" width="13.85546875" style="342" bestFit="1" customWidth="1"/>
    <col min="2066" max="2066" width="9.140625" style="342"/>
    <col min="2067" max="2067" width="14.140625" style="342" bestFit="1" customWidth="1"/>
    <col min="2068" max="2304" width="9.140625" style="342"/>
    <col min="2305" max="2305" width="9" style="342" customWidth="1"/>
    <col min="2306" max="2306" width="1.140625" style="342" customWidth="1"/>
    <col min="2307" max="2307" width="23.5703125" style="342" customWidth="1"/>
    <col min="2308" max="2309" width="0.85546875" style="342" customWidth="1"/>
    <col min="2310" max="2310" width="33" style="342" customWidth="1"/>
    <col min="2311" max="2312" width="0.85546875" style="342" customWidth="1"/>
    <col min="2313" max="2313" width="15.140625" style="342" bestFit="1" customWidth="1"/>
    <col min="2314" max="2315" width="0.85546875" style="342" customWidth="1"/>
    <col min="2316" max="2316" width="29.5703125" style="342" customWidth="1"/>
    <col min="2317" max="2317" width="1.5703125" style="342" customWidth="1"/>
    <col min="2318" max="2320" width="9.140625" style="342"/>
    <col min="2321" max="2321" width="13.85546875" style="342" bestFit="1" customWidth="1"/>
    <col min="2322" max="2322" width="9.140625" style="342"/>
    <col min="2323" max="2323" width="14.140625" style="342" bestFit="1" customWidth="1"/>
    <col min="2324" max="2560" width="9.140625" style="342"/>
    <col min="2561" max="2561" width="9" style="342" customWidth="1"/>
    <col min="2562" max="2562" width="1.140625" style="342" customWidth="1"/>
    <col min="2563" max="2563" width="23.5703125" style="342" customWidth="1"/>
    <col min="2564" max="2565" width="0.85546875" style="342" customWidth="1"/>
    <col min="2566" max="2566" width="33" style="342" customWidth="1"/>
    <col min="2567" max="2568" width="0.85546875" style="342" customWidth="1"/>
    <col min="2569" max="2569" width="15.140625" style="342" bestFit="1" customWidth="1"/>
    <col min="2570" max="2571" width="0.85546875" style="342" customWidth="1"/>
    <col min="2572" max="2572" width="29.5703125" style="342" customWidth="1"/>
    <col min="2573" max="2573" width="1.5703125" style="342" customWidth="1"/>
    <col min="2574" max="2576" width="9.140625" style="342"/>
    <col min="2577" max="2577" width="13.85546875" style="342" bestFit="1" customWidth="1"/>
    <col min="2578" max="2578" width="9.140625" style="342"/>
    <col min="2579" max="2579" width="14.140625" style="342" bestFit="1" customWidth="1"/>
    <col min="2580" max="2816" width="9.140625" style="342"/>
    <col min="2817" max="2817" width="9" style="342" customWidth="1"/>
    <col min="2818" max="2818" width="1.140625" style="342" customWidth="1"/>
    <col min="2819" max="2819" width="23.5703125" style="342" customWidth="1"/>
    <col min="2820" max="2821" width="0.85546875" style="342" customWidth="1"/>
    <col min="2822" max="2822" width="33" style="342" customWidth="1"/>
    <col min="2823" max="2824" width="0.85546875" style="342" customWidth="1"/>
    <col min="2825" max="2825" width="15.140625" style="342" bestFit="1" customWidth="1"/>
    <col min="2826" max="2827" width="0.85546875" style="342" customWidth="1"/>
    <col min="2828" max="2828" width="29.5703125" style="342" customWidth="1"/>
    <col min="2829" max="2829" width="1.5703125" style="342" customWidth="1"/>
    <col min="2830" max="2832" width="9.140625" style="342"/>
    <col min="2833" max="2833" width="13.85546875" style="342" bestFit="1" customWidth="1"/>
    <col min="2834" max="2834" width="9.140625" style="342"/>
    <col min="2835" max="2835" width="14.140625" style="342" bestFit="1" customWidth="1"/>
    <col min="2836" max="3072" width="9.140625" style="342"/>
    <col min="3073" max="3073" width="9" style="342" customWidth="1"/>
    <col min="3074" max="3074" width="1.140625" style="342" customWidth="1"/>
    <col min="3075" max="3075" width="23.5703125" style="342" customWidth="1"/>
    <col min="3076" max="3077" width="0.85546875" style="342" customWidth="1"/>
    <col min="3078" max="3078" width="33" style="342" customWidth="1"/>
    <col min="3079" max="3080" width="0.85546875" style="342" customWidth="1"/>
    <col min="3081" max="3081" width="15.140625" style="342" bestFit="1" customWidth="1"/>
    <col min="3082" max="3083" width="0.85546875" style="342" customWidth="1"/>
    <col min="3084" max="3084" width="29.5703125" style="342" customWidth="1"/>
    <col min="3085" max="3085" width="1.5703125" style="342" customWidth="1"/>
    <col min="3086" max="3088" width="9.140625" style="342"/>
    <col min="3089" max="3089" width="13.85546875" style="342" bestFit="1" customWidth="1"/>
    <col min="3090" max="3090" width="9.140625" style="342"/>
    <col min="3091" max="3091" width="14.140625" style="342" bestFit="1" customWidth="1"/>
    <col min="3092" max="3328" width="9.140625" style="342"/>
    <col min="3329" max="3329" width="9" style="342" customWidth="1"/>
    <col min="3330" max="3330" width="1.140625" style="342" customWidth="1"/>
    <col min="3331" max="3331" width="23.5703125" style="342" customWidth="1"/>
    <col min="3332" max="3333" width="0.85546875" style="342" customWidth="1"/>
    <col min="3334" max="3334" width="33" style="342" customWidth="1"/>
    <col min="3335" max="3336" width="0.85546875" style="342" customWidth="1"/>
    <col min="3337" max="3337" width="15.140625" style="342" bestFit="1" customWidth="1"/>
    <col min="3338" max="3339" width="0.85546875" style="342" customWidth="1"/>
    <col min="3340" max="3340" width="29.5703125" style="342" customWidth="1"/>
    <col min="3341" max="3341" width="1.5703125" style="342" customWidth="1"/>
    <col min="3342" max="3344" width="9.140625" style="342"/>
    <col min="3345" max="3345" width="13.85546875" style="342" bestFit="1" customWidth="1"/>
    <col min="3346" max="3346" width="9.140625" style="342"/>
    <col min="3347" max="3347" width="14.140625" style="342" bestFit="1" customWidth="1"/>
    <col min="3348" max="3584" width="9.140625" style="342"/>
    <col min="3585" max="3585" width="9" style="342" customWidth="1"/>
    <col min="3586" max="3586" width="1.140625" style="342" customWidth="1"/>
    <col min="3587" max="3587" width="23.5703125" style="342" customWidth="1"/>
    <col min="3588" max="3589" width="0.85546875" style="342" customWidth="1"/>
    <col min="3590" max="3590" width="33" style="342" customWidth="1"/>
    <col min="3591" max="3592" width="0.85546875" style="342" customWidth="1"/>
    <col min="3593" max="3593" width="15.140625" style="342" bestFit="1" customWidth="1"/>
    <col min="3594" max="3595" width="0.85546875" style="342" customWidth="1"/>
    <col min="3596" max="3596" width="29.5703125" style="342" customWidth="1"/>
    <col min="3597" max="3597" width="1.5703125" style="342" customWidth="1"/>
    <col min="3598" max="3600" width="9.140625" style="342"/>
    <col min="3601" max="3601" width="13.85546875" style="342" bestFit="1" customWidth="1"/>
    <col min="3602" max="3602" width="9.140625" style="342"/>
    <col min="3603" max="3603" width="14.140625" style="342" bestFit="1" customWidth="1"/>
    <col min="3604" max="3840" width="9.140625" style="342"/>
    <col min="3841" max="3841" width="9" style="342" customWidth="1"/>
    <col min="3842" max="3842" width="1.140625" style="342" customWidth="1"/>
    <col min="3843" max="3843" width="23.5703125" style="342" customWidth="1"/>
    <col min="3844" max="3845" width="0.85546875" style="342" customWidth="1"/>
    <col min="3846" max="3846" width="33" style="342" customWidth="1"/>
    <col min="3847" max="3848" width="0.85546875" style="342" customWidth="1"/>
    <col min="3849" max="3849" width="15.140625" style="342" bestFit="1" customWidth="1"/>
    <col min="3850" max="3851" width="0.85546875" style="342" customWidth="1"/>
    <col min="3852" max="3852" width="29.5703125" style="342" customWidth="1"/>
    <col min="3853" max="3853" width="1.5703125" style="342" customWidth="1"/>
    <col min="3854" max="3856" width="9.140625" style="342"/>
    <col min="3857" max="3857" width="13.85546875" style="342" bestFit="1" customWidth="1"/>
    <col min="3858" max="3858" width="9.140625" style="342"/>
    <col min="3859" max="3859" width="14.140625" style="342" bestFit="1" customWidth="1"/>
    <col min="3860" max="4096" width="9.140625" style="342"/>
    <col min="4097" max="4097" width="9" style="342" customWidth="1"/>
    <col min="4098" max="4098" width="1.140625" style="342" customWidth="1"/>
    <col min="4099" max="4099" width="23.5703125" style="342" customWidth="1"/>
    <col min="4100" max="4101" width="0.85546875" style="342" customWidth="1"/>
    <col min="4102" max="4102" width="33" style="342" customWidth="1"/>
    <col min="4103" max="4104" width="0.85546875" style="342" customWidth="1"/>
    <col min="4105" max="4105" width="15.140625" style="342" bestFit="1" customWidth="1"/>
    <col min="4106" max="4107" width="0.85546875" style="342" customWidth="1"/>
    <col min="4108" max="4108" width="29.5703125" style="342" customWidth="1"/>
    <col min="4109" max="4109" width="1.5703125" style="342" customWidth="1"/>
    <col min="4110" max="4112" width="9.140625" style="342"/>
    <col min="4113" max="4113" width="13.85546875" style="342" bestFit="1" customWidth="1"/>
    <col min="4114" max="4114" width="9.140625" style="342"/>
    <col min="4115" max="4115" width="14.140625" style="342" bestFit="1" customWidth="1"/>
    <col min="4116" max="4352" width="9.140625" style="342"/>
    <col min="4353" max="4353" width="9" style="342" customWidth="1"/>
    <col min="4354" max="4354" width="1.140625" style="342" customWidth="1"/>
    <col min="4355" max="4355" width="23.5703125" style="342" customWidth="1"/>
    <col min="4356" max="4357" width="0.85546875" style="342" customWidth="1"/>
    <col min="4358" max="4358" width="33" style="342" customWidth="1"/>
    <col min="4359" max="4360" width="0.85546875" style="342" customWidth="1"/>
    <col min="4361" max="4361" width="15.140625" style="342" bestFit="1" customWidth="1"/>
    <col min="4362" max="4363" width="0.85546875" style="342" customWidth="1"/>
    <col min="4364" max="4364" width="29.5703125" style="342" customWidth="1"/>
    <col min="4365" max="4365" width="1.5703125" style="342" customWidth="1"/>
    <col min="4366" max="4368" width="9.140625" style="342"/>
    <col min="4369" max="4369" width="13.85546875" style="342" bestFit="1" customWidth="1"/>
    <col min="4370" max="4370" width="9.140625" style="342"/>
    <col min="4371" max="4371" width="14.140625" style="342" bestFit="1" customWidth="1"/>
    <col min="4372" max="4608" width="9.140625" style="342"/>
    <col min="4609" max="4609" width="9" style="342" customWidth="1"/>
    <col min="4610" max="4610" width="1.140625" style="342" customWidth="1"/>
    <col min="4611" max="4611" width="23.5703125" style="342" customWidth="1"/>
    <col min="4612" max="4613" width="0.85546875" style="342" customWidth="1"/>
    <col min="4614" max="4614" width="33" style="342" customWidth="1"/>
    <col min="4615" max="4616" width="0.85546875" style="342" customWidth="1"/>
    <col min="4617" max="4617" width="15.140625" style="342" bestFit="1" customWidth="1"/>
    <col min="4618" max="4619" width="0.85546875" style="342" customWidth="1"/>
    <col min="4620" max="4620" width="29.5703125" style="342" customWidth="1"/>
    <col min="4621" max="4621" width="1.5703125" style="342" customWidth="1"/>
    <col min="4622" max="4624" width="9.140625" style="342"/>
    <col min="4625" max="4625" width="13.85546875" style="342" bestFit="1" customWidth="1"/>
    <col min="4626" max="4626" width="9.140625" style="342"/>
    <col min="4627" max="4627" width="14.140625" style="342" bestFit="1" customWidth="1"/>
    <col min="4628" max="4864" width="9.140625" style="342"/>
    <col min="4865" max="4865" width="9" style="342" customWidth="1"/>
    <col min="4866" max="4866" width="1.140625" style="342" customWidth="1"/>
    <col min="4867" max="4867" width="23.5703125" style="342" customWidth="1"/>
    <col min="4868" max="4869" width="0.85546875" style="342" customWidth="1"/>
    <col min="4870" max="4870" width="33" style="342" customWidth="1"/>
    <col min="4871" max="4872" width="0.85546875" style="342" customWidth="1"/>
    <col min="4873" max="4873" width="15.140625" style="342" bestFit="1" customWidth="1"/>
    <col min="4874" max="4875" width="0.85546875" style="342" customWidth="1"/>
    <col min="4876" max="4876" width="29.5703125" style="342" customWidth="1"/>
    <col min="4877" max="4877" width="1.5703125" style="342" customWidth="1"/>
    <col min="4878" max="4880" width="9.140625" style="342"/>
    <col min="4881" max="4881" width="13.85546875" style="342" bestFit="1" customWidth="1"/>
    <col min="4882" max="4882" width="9.140625" style="342"/>
    <col min="4883" max="4883" width="14.140625" style="342" bestFit="1" customWidth="1"/>
    <col min="4884" max="5120" width="9.140625" style="342"/>
    <col min="5121" max="5121" width="9" style="342" customWidth="1"/>
    <col min="5122" max="5122" width="1.140625" style="342" customWidth="1"/>
    <col min="5123" max="5123" width="23.5703125" style="342" customWidth="1"/>
    <col min="5124" max="5125" width="0.85546875" style="342" customWidth="1"/>
    <col min="5126" max="5126" width="33" style="342" customWidth="1"/>
    <col min="5127" max="5128" width="0.85546875" style="342" customWidth="1"/>
    <col min="5129" max="5129" width="15.140625" style="342" bestFit="1" customWidth="1"/>
    <col min="5130" max="5131" width="0.85546875" style="342" customWidth="1"/>
    <col min="5132" max="5132" width="29.5703125" style="342" customWidth="1"/>
    <col min="5133" max="5133" width="1.5703125" style="342" customWidth="1"/>
    <col min="5134" max="5136" width="9.140625" style="342"/>
    <col min="5137" max="5137" width="13.85546875" style="342" bestFit="1" customWidth="1"/>
    <col min="5138" max="5138" width="9.140625" style="342"/>
    <col min="5139" max="5139" width="14.140625" style="342" bestFit="1" customWidth="1"/>
    <col min="5140" max="5376" width="9.140625" style="342"/>
    <col min="5377" max="5377" width="9" style="342" customWidth="1"/>
    <col min="5378" max="5378" width="1.140625" style="342" customWidth="1"/>
    <col min="5379" max="5379" width="23.5703125" style="342" customWidth="1"/>
    <col min="5380" max="5381" width="0.85546875" style="342" customWidth="1"/>
    <col min="5382" max="5382" width="33" style="342" customWidth="1"/>
    <col min="5383" max="5384" width="0.85546875" style="342" customWidth="1"/>
    <col min="5385" max="5385" width="15.140625" style="342" bestFit="1" customWidth="1"/>
    <col min="5386" max="5387" width="0.85546875" style="342" customWidth="1"/>
    <col min="5388" max="5388" width="29.5703125" style="342" customWidth="1"/>
    <col min="5389" max="5389" width="1.5703125" style="342" customWidth="1"/>
    <col min="5390" max="5392" width="9.140625" style="342"/>
    <col min="5393" max="5393" width="13.85546875" style="342" bestFit="1" customWidth="1"/>
    <col min="5394" max="5394" width="9.140625" style="342"/>
    <col min="5395" max="5395" width="14.140625" style="342" bestFit="1" customWidth="1"/>
    <col min="5396" max="5632" width="9.140625" style="342"/>
    <col min="5633" max="5633" width="9" style="342" customWidth="1"/>
    <col min="5634" max="5634" width="1.140625" style="342" customWidth="1"/>
    <col min="5635" max="5635" width="23.5703125" style="342" customWidth="1"/>
    <col min="5636" max="5637" width="0.85546875" style="342" customWidth="1"/>
    <col min="5638" max="5638" width="33" style="342" customWidth="1"/>
    <col min="5639" max="5640" width="0.85546875" style="342" customWidth="1"/>
    <col min="5641" max="5641" width="15.140625" style="342" bestFit="1" customWidth="1"/>
    <col min="5642" max="5643" width="0.85546875" style="342" customWidth="1"/>
    <col min="5644" max="5644" width="29.5703125" style="342" customWidth="1"/>
    <col min="5645" max="5645" width="1.5703125" style="342" customWidth="1"/>
    <col min="5646" max="5648" width="9.140625" style="342"/>
    <col min="5649" max="5649" width="13.85546875" style="342" bestFit="1" customWidth="1"/>
    <col min="5650" max="5650" width="9.140625" style="342"/>
    <col min="5651" max="5651" width="14.140625" style="342" bestFit="1" customWidth="1"/>
    <col min="5652" max="5888" width="9.140625" style="342"/>
    <col min="5889" max="5889" width="9" style="342" customWidth="1"/>
    <col min="5890" max="5890" width="1.140625" style="342" customWidth="1"/>
    <col min="5891" max="5891" width="23.5703125" style="342" customWidth="1"/>
    <col min="5892" max="5893" width="0.85546875" style="342" customWidth="1"/>
    <col min="5894" max="5894" width="33" style="342" customWidth="1"/>
    <col min="5895" max="5896" width="0.85546875" style="342" customWidth="1"/>
    <col min="5897" max="5897" width="15.140625" style="342" bestFit="1" customWidth="1"/>
    <col min="5898" max="5899" width="0.85546875" style="342" customWidth="1"/>
    <col min="5900" max="5900" width="29.5703125" style="342" customWidth="1"/>
    <col min="5901" max="5901" width="1.5703125" style="342" customWidth="1"/>
    <col min="5902" max="5904" width="9.140625" style="342"/>
    <col min="5905" max="5905" width="13.85546875" style="342" bestFit="1" customWidth="1"/>
    <col min="5906" max="5906" width="9.140625" style="342"/>
    <col min="5907" max="5907" width="14.140625" style="342" bestFit="1" customWidth="1"/>
    <col min="5908" max="6144" width="9.140625" style="342"/>
    <col min="6145" max="6145" width="9" style="342" customWidth="1"/>
    <col min="6146" max="6146" width="1.140625" style="342" customWidth="1"/>
    <col min="6147" max="6147" width="23.5703125" style="342" customWidth="1"/>
    <col min="6148" max="6149" width="0.85546875" style="342" customWidth="1"/>
    <col min="6150" max="6150" width="33" style="342" customWidth="1"/>
    <col min="6151" max="6152" width="0.85546875" style="342" customWidth="1"/>
    <col min="6153" max="6153" width="15.140625" style="342" bestFit="1" customWidth="1"/>
    <col min="6154" max="6155" width="0.85546875" style="342" customWidth="1"/>
    <col min="6156" max="6156" width="29.5703125" style="342" customWidth="1"/>
    <col min="6157" max="6157" width="1.5703125" style="342" customWidth="1"/>
    <col min="6158" max="6160" width="9.140625" style="342"/>
    <col min="6161" max="6161" width="13.85546875" style="342" bestFit="1" customWidth="1"/>
    <col min="6162" max="6162" width="9.140625" style="342"/>
    <col min="6163" max="6163" width="14.140625" style="342" bestFit="1" customWidth="1"/>
    <col min="6164" max="6400" width="9.140625" style="342"/>
    <col min="6401" max="6401" width="9" style="342" customWidth="1"/>
    <col min="6402" max="6402" width="1.140625" style="342" customWidth="1"/>
    <col min="6403" max="6403" width="23.5703125" style="342" customWidth="1"/>
    <col min="6404" max="6405" width="0.85546875" style="342" customWidth="1"/>
    <col min="6406" max="6406" width="33" style="342" customWidth="1"/>
    <col min="6407" max="6408" width="0.85546875" style="342" customWidth="1"/>
    <col min="6409" max="6409" width="15.140625" style="342" bestFit="1" customWidth="1"/>
    <col min="6410" max="6411" width="0.85546875" style="342" customWidth="1"/>
    <col min="6412" max="6412" width="29.5703125" style="342" customWidth="1"/>
    <col min="6413" max="6413" width="1.5703125" style="342" customWidth="1"/>
    <col min="6414" max="6416" width="9.140625" style="342"/>
    <col min="6417" max="6417" width="13.85546875" style="342" bestFit="1" customWidth="1"/>
    <col min="6418" max="6418" width="9.140625" style="342"/>
    <col min="6419" max="6419" width="14.140625" style="342" bestFit="1" customWidth="1"/>
    <col min="6420" max="6656" width="9.140625" style="342"/>
    <col min="6657" max="6657" width="9" style="342" customWidth="1"/>
    <col min="6658" max="6658" width="1.140625" style="342" customWidth="1"/>
    <col min="6659" max="6659" width="23.5703125" style="342" customWidth="1"/>
    <col min="6660" max="6661" width="0.85546875" style="342" customWidth="1"/>
    <col min="6662" max="6662" width="33" style="342" customWidth="1"/>
    <col min="6663" max="6664" width="0.85546875" style="342" customWidth="1"/>
    <col min="6665" max="6665" width="15.140625" style="342" bestFit="1" customWidth="1"/>
    <col min="6666" max="6667" width="0.85546875" style="342" customWidth="1"/>
    <col min="6668" max="6668" width="29.5703125" style="342" customWidth="1"/>
    <col min="6669" max="6669" width="1.5703125" style="342" customWidth="1"/>
    <col min="6670" max="6672" width="9.140625" style="342"/>
    <col min="6673" max="6673" width="13.85546875" style="342" bestFit="1" customWidth="1"/>
    <col min="6674" max="6674" width="9.140625" style="342"/>
    <col min="6675" max="6675" width="14.140625" style="342" bestFit="1" customWidth="1"/>
    <col min="6676" max="6912" width="9.140625" style="342"/>
    <col min="6913" max="6913" width="9" style="342" customWidth="1"/>
    <col min="6914" max="6914" width="1.140625" style="342" customWidth="1"/>
    <col min="6915" max="6915" width="23.5703125" style="342" customWidth="1"/>
    <col min="6916" max="6917" width="0.85546875" style="342" customWidth="1"/>
    <col min="6918" max="6918" width="33" style="342" customWidth="1"/>
    <col min="6919" max="6920" width="0.85546875" style="342" customWidth="1"/>
    <col min="6921" max="6921" width="15.140625" style="342" bestFit="1" customWidth="1"/>
    <col min="6922" max="6923" width="0.85546875" style="342" customWidth="1"/>
    <col min="6924" max="6924" width="29.5703125" style="342" customWidth="1"/>
    <col min="6925" max="6925" width="1.5703125" style="342" customWidth="1"/>
    <col min="6926" max="6928" width="9.140625" style="342"/>
    <col min="6929" max="6929" width="13.85546875" style="342" bestFit="1" customWidth="1"/>
    <col min="6930" max="6930" width="9.140625" style="342"/>
    <col min="6931" max="6931" width="14.140625" style="342" bestFit="1" customWidth="1"/>
    <col min="6932" max="7168" width="9.140625" style="342"/>
    <col min="7169" max="7169" width="9" style="342" customWidth="1"/>
    <col min="7170" max="7170" width="1.140625" style="342" customWidth="1"/>
    <col min="7171" max="7171" width="23.5703125" style="342" customWidth="1"/>
    <col min="7172" max="7173" width="0.85546875" style="342" customWidth="1"/>
    <col min="7174" max="7174" width="33" style="342" customWidth="1"/>
    <col min="7175" max="7176" width="0.85546875" style="342" customWidth="1"/>
    <col min="7177" max="7177" width="15.140625" style="342" bestFit="1" customWidth="1"/>
    <col min="7178" max="7179" width="0.85546875" style="342" customWidth="1"/>
    <col min="7180" max="7180" width="29.5703125" style="342" customWidth="1"/>
    <col min="7181" max="7181" width="1.5703125" style="342" customWidth="1"/>
    <col min="7182" max="7184" width="9.140625" style="342"/>
    <col min="7185" max="7185" width="13.85546875" style="342" bestFit="1" customWidth="1"/>
    <col min="7186" max="7186" width="9.140625" style="342"/>
    <col min="7187" max="7187" width="14.140625" style="342" bestFit="1" customWidth="1"/>
    <col min="7188" max="7424" width="9.140625" style="342"/>
    <col min="7425" max="7425" width="9" style="342" customWidth="1"/>
    <col min="7426" max="7426" width="1.140625" style="342" customWidth="1"/>
    <col min="7427" max="7427" width="23.5703125" style="342" customWidth="1"/>
    <col min="7428" max="7429" width="0.85546875" style="342" customWidth="1"/>
    <col min="7430" max="7430" width="33" style="342" customWidth="1"/>
    <col min="7431" max="7432" width="0.85546875" style="342" customWidth="1"/>
    <col min="7433" max="7433" width="15.140625" style="342" bestFit="1" customWidth="1"/>
    <col min="7434" max="7435" width="0.85546875" style="342" customWidth="1"/>
    <col min="7436" max="7436" width="29.5703125" style="342" customWidth="1"/>
    <col min="7437" max="7437" width="1.5703125" style="342" customWidth="1"/>
    <col min="7438" max="7440" width="9.140625" style="342"/>
    <col min="7441" max="7441" width="13.85546875" style="342" bestFit="1" customWidth="1"/>
    <col min="7442" max="7442" width="9.140625" style="342"/>
    <col min="7443" max="7443" width="14.140625" style="342" bestFit="1" customWidth="1"/>
    <col min="7444" max="7680" width="9.140625" style="342"/>
    <col min="7681" max="7681" width="9" style="342" customWidth="1"/>
    <col min="7682" max="7682" width="1.140625" style="342" customWidth="1"/>
    <col min="7683" max="7683" width="23.5703125" style="342" customWidth="1"/>
    <col min="7684" max="7685" width="0.85546875" style="342" customWidth="1"/>
    <col min="7686" max="7686" width="33" style="342" customWidth="1"/>
    <col min="7687" max="7688" width="0.85546875" style="342" customWidth="1"/>
    <col min="7689" max="7689" width="15.140625" style="342" bestFit="1" customWidth="1"/>
    <col min="7690" max="7691" width="0.85546875" style="342" customWidth="1"/>
    <col min="7692" max="7692" width="29.5703125" style="342" customWidth="1"/>
    <col min="7693" max="7693" width="1.5703125" style="342" customWidth="1"/>
    <col min="7694" max="7696" width="9.140625" style="342"/>
    <col min="7697" max="7697" width="13.85546875" style="342" bestFit="1" customWidth="1"/>
    <col min="7698" max="7698" width="9.140625" style="342"/>
    <col min="7699" max="7699" width="14.140625" style="342" bestFit="1" customWidth="1"/>
    <col min="7700" max="7936" width="9.140625" style="342"/>
    <col min="7937" max="7937" width="9" style="342" customWidth="1"/>
    <col min="7938" max="7938" width="1.140625" style="342" customWidth="1"/>
    <col min="7939" max="7939" width="23.5703125" style="342" customWidth="1"/>
    <col min="7940" max="7941" width="0.85546875" style="342" customWidth="1"/>
    <col min="7942" max="7942" width="33" style="342" customWidth="1"/>
    <col min="7943" max="7944" width="0.85546875" style="342" customWidth="1"/>
    <col min="7945" max="7945" width="15.140625" style="342" bestFit="1" customWidth="1"/>
    <col min="7946" max="7947" width="0.85546875" style="342" customWidth="1"/>
    <col min="7948" max="7948" width="29.5703125" style="342" customWidth="1"/>
    <col min="7949" max="7949" width="1.5703125" style="342" customWidth="1"/>
    <col min="7950" max="7952" width="9.140625" style="342"/>
    <col min="7953" max="7953" width="13.85546875" style="342" bestFit="1" customWidth="1"/>
    <col min="7954" max="7954" width="9.140625" style="342"/>
    <col min="7955" max="7955" width="14.140625" style="342" bestFit="1" customWidth="1"/>
    <col min="7956" max="8192" width="9.140625" style="342"/>
    <col min="8193" max="8193" width="9" style="342" customWidth="1"/>
    <col min="8194" max="8194" width="1.140625" style="342" customWidth="1"/>
    <col min="8195" max="8195" width="23.5703125" style="342" customWidth="1"/>
    <col min="8196" max="8197" width="0.85546875" style="342" customWidth="1"/>
    <col min="8198" max="8198" width="33" style="342" customWidth="1"/>
    <col min="8199" max="8200" width="0.85546875" style="342" customWidth="1"/>
    <col min="8201" max="8201" width="15.140625" style="342" bestFit="1" customWidth="1"/>
    <col min="8202" max="8203" width="0.85546875" style="342" customWidth="1"/>
    <col min="8204" max="8204" width="29.5703125" style="342" customWidth="1"/>
    <col min="8205" max="8205" width="1.5703125" style="342" customWidth="1"/>
    <col min="8206" max="8208" width="9.140625" style="342"/>
    <col min="8209" max="8209" width="13.85546875" style="342" bestFit="1" customWidth="1"/>
    <col min="8210" max="8210" width="9.140625" style="342"/>
    <col min="8211" max="8211" width="14.140625" style="342" bestFit="1" customWidth="1"/>
    <col min="8212" max="8448" width="9.140625" style="342"/>
    <col min="8449" max="8449" width="9" style="342" customWidth="1"/>
    <col min="8450" max="8450" width="1.140625" style="342" customWidth="1"/>
    <col min="8451" max="8451" width="23.5703125" style="342" customWidth="1"/>
    <col min="8452" max="8453" width="0.85546875" style="342" customWidth="1"/>
    <col min="8454" max="8454" width="33" style="342" customWidth="1"/>
    <col min="8455" max="8456" width="0.85546875" style="342" customWidth="1"/>
    <col min="8457" max="8457" width="15.140625" style="342" bestFit="1" customWidth="1"/>
    <col min="8458" max="8459" width="0.85546875" style="342" customWidth="1"/>
    <col min="8460" max="8460" width="29.5703125" style="342" customWidth="1"/>
    <col min="8461" max="8461" width="1.5703125" style="342" customWidth="1"/>
    <col min="8462" max="8464" width="9.140625" style="342"/>
    <col min="8465" max="8465" width="13.85546875" style="342" bestFit="1" customWidth="1"/>
    <col min="8466" max="8466" width="9.140625" style="342"/>
    <col min="8467" max="8467" width="14.140625" style="342" bestFit="1" customWidth="1"/>
    <col min="8468" max="8704" width="9.140625" style="342"/>
    <col min="8705" max="8705" width="9" style="342" customWidth="1"/>
    <col min="8706" max="8706" width="1.140625" style="342" customWidth="1"/>
    <col min="8707" max="8707" width="23.5703125" style="342" customWidth="1"/>
    <col min="8708" max="8709" width="0.85546875" style="342" customWidth="1"/>
    <col min="8710" max="8710" width="33" style="342" customWidth="1"/>
    <col min="8711" max="8712" width="0.85546875" style="342" customWidth="1"/>
    <col min="8713" max="8713" width="15.140625" style="342" bestFit="1" customWidth="1"/>
    <col min="8714" max="8715" width="0.85546875" style="342" customWidth="1"/>
    <col min="8716" max="8716" width="29.5703125" style="342" customWidth="1"/>
    <col min="8717" max="8717" width="1.5703125" style="342" customWidth="1"/>
    <col min="8718" max="8720" width="9.140625" style="342"/>
    <col min="8721" max="8721" width="13.85546875" style="342" bestFit="1" customWidth="1"/>
    <col min="8722" max="8722" width="9.140625" style="342"/>
    <col min="8723" max="8723" width="14.140625" style="342" bestFit="1" customWidth="1"/>
    <col min="8724" max="8960" width="9.140625" style="342"/>
    <col min="8961" max="8961" width="9" style="342" customWidth="1"/>
    <col min="8962" max="8962" width="1.140625" style="342" customWidth="1"/>
    <col min="8963" max="8963" width="23.5703125" style="342" customWidth="1"/>
    <col min="8964" max="8965" width="0.85546875" style="342" customWidth="1"/>
    <col min="8966" max="8966" width="33" style="342" customWidth="1"/>
    <col min="8967" max="8968" width="0.85546875" style="342" customWidth="1"/>
    <col min="8969" max="8969" width="15.140625" style="342" bestFit="1" customWidth="1"/>
    <col min="8970" max="8971" width="0.85546875" style="342" customWidth="1"/>
    <col min="8972" max="8972" width="29.5703125" style="342" customWidth="1"/>
    <col min="8973" max="8973" width="1.5703125" style="342" customWidth="1"/>
    <col min="8974" max="8976" width="9.140625" style="342"/>
    <col min="8977" max="8977" width="13.85546875" style="342" bestFit="1" customWidth="1"/>
    <col min="8978" max="8978" width="9.140625" style="342"/>
    <col min="8979" max="8979" width="14.140625" style="342" bestFit="1" customWidth="1"/>
    <col min="8980" max="9216" width="9.140625" style="342"/>
    <col min="9217" max="9217" width="9" style="342" customWidth="1"/>
    <col min="9218" max="9218" width="1.140625" style="342" customWidth="1"/>
    <col min="9219" max="9219" width="23.5703125" style="342" customWidth="1"/>
    <col min="9220" max="9221" width="0.85546875" style="342" customWidth="1"/>
    <col min="9222" max="9222" width="33" style="342" customWidth="1"/>
    <col min="9223" max="9224" width="0.85546875" style="342" customWidth="1"/>
    <col min="9225" max="9225" width="15.140625" style="342" bestFit="1" customWidth="1"/>
    <col min="9226" max="9227" width="0.85546875" style="342" customWidth="1"/>
    <col min="9228" max="9228" width="29.5703125" style="342" customWidth="1"/>
    <col min="9229" max="9229" width="1.5703125" style="342" customWidth="1"/>
    <col min="9230" max="9232" width="9.140625" style="342"/>
    <col min="9233" max="9233" width="13.85546875" style="342" bestFit="1" customWidth="1"/>
    <col min="9234" max="9234" width="9.140625" style="342"/>
    <col min="9235" max="9235" width="14.140625" style="342" bestFit="1" customWidth="1"/>
    <col min="9236" max="9472" width="9.140625" style="342"/>
    <col min="9473" max="9473" width="9" style="342" customWidth="1"/>
    <col min="9474" max="9474" width="1.140625" style="342" customWidth="1"/>
    <col min="9475" max="9475" width="23.5703125" style="342" customWidth="1"/>
    <col min="9476" max="9477" width="0.85546875" style="342" customWidth="1"/>
    <col min="9478" max="9478" width="33" style="342" customWidth="1"/>
    <col min="9479" max="9480" width="0.85546875" style="342" customWidth="1"/>
    <col min="9481" max="9481" width="15.140625" style="342" bestFit="1" customWidth="1"/>
    <col min="9482" max="9483" width="0.85546875" style="342" customWidth="1"/>
    <col min="9484" max="9484" width="29.5703125" style="342" customWidth="1"/>
    <col min="9485" max="9485" width="1.5703125" style="342" customWidth="1"/>
    <col min="9486" max="9488" width="9.140625" style="342"/>
    <col min="9489" max="9489" width="13.85546875" style="342" bestFit="1" customWidth="1"/>
    <col min="9490" max="9490" width="9.140625" style="342"/>
    <col min="9491" max="9491" width="14.140625" style="342" bestFit="1" customWidth="1"/>
    <col min="9492" max="9728" width="9.140625" style="342"/>
    <col min="9729" max="9729" width="9" style="342" customWidth="1"/>
    <col min="9730" max="9730" width="1.140625" style="342" customWidth="1"/>
    <col min="9731" max="9731" width="23.5703125" style="342" customWidth="1"/>
    <col min="9732" max="9733" width="0.85546875" style="342" customWidth="1"/>
    <col min="9734" max="9734" width="33" style="342" customWidth="1"/>
    <col min="9735" max="9736" width="0.85546875" style="342" customWidth="1"/>
    <col min="9737" max="9737" width="15.140625" style="342" bestFit="1" customWidth="1"/>
    <col min="9738" max="9739" width="0.85546875" style="342" customWidth="1"/>
    <col min="9740" max="9740" width="29.5703125" style="342" customWidth="1"/>
    <col min="9741" max="9741" width="1.5703125" style="342" customWidth="1"/>
    <col min="9742" max="9744" width="9.140625" style="342"/>
    <col min="9745" max="9745" width="13.85546875" style="342" bestFit="1" customWidth="1"/>
    <col min="9746" max="9746" width="9.140625" style="342"/>
    <col min="9747" max="9747" width="14.140625" style="342" bestFit="1" customWidth="1"/>
    <col min="9748" max="9984" width="9.140625" style="342"/>
    <col min="9985" max="9985" width="9" style="342" customWidth="1"/>
    <col min="9986" max="9986" width="1.140625" style="342" customWidth="1"/>
    <col min="9987" max="9987" width="23.5703125" style="342" customWidth="1"/>
    <col min="9988" max="9989" width="0.85546875" style="342" customWidth="1"/>
    <col min="9990" max="9990" width="33" style="342" customWidth="1"/>
    <col min="9991" max="9992" width="0.85546875" style="342" customWidth="1"/>
    <col min="9993" max="9993" width="15.140625" style="342" bestFit="1" customWidth="1"/>
    <col min="9994" max="9995" width="0.85546875" style="342" customWidth="1"/>
    <col min="9996" max="9996" width="29.5703125" style="342" customWidth="1"/>
    <col min="9997" max="9997" width="1.5703125" style="342" customWidth="1"/>
    <col min="9998" max="10000" width="9.140625" style="342"/>
    <col min="10001" max="10001" width="13.85546875" style="342" bestFit="1" customWidth="1"/>
    <col min="10002" max="10002" width="9.140625" style="342"/>
    <col min="10003" max="10003" width="14.140625" style="342" bestFit="1" customWidth="1"/>
    <col min="10004" max="10240" width="9.140625" style="342"/>
    <col min="10241" max="10241" width="9" style="342" customWidth="1"/>
    <col min="10242" max="10242" width="1.140625" style="342" customWidth="1"/>
    <col min="10243" max="10243" width="23.5703125" style="342" customWidth="1"/>
    <col min="10244" max="10245" width="0.85546875" style="342" customWidth="1"/>
    <col min="10246" max="10246" width="33" style="342" customWidth="1"/>
    <col min="10247" max="10248" width="0.85546875" style="342" customWidth="1"/>
    <col min="10249" max="10249" width="15.140625" style="342" bestFit="1" customWidth="1"/>
    <col min="10250" max="10251" width="0.85546875" style="342" customWidth="1"/>
    <col min="10252" max="10252" width="29.5703125" style="342" customWidth="1"/>
    <col min="10253" max="10253" width="1.5703125" style="342" customWidth="1"/>
    <col min="10254" max="10256" width="9.140625" style="342"/>
    <col min="10257" max="10257" width="13.85546875" style="342" bestFit="1" customWidth="1"/>
    <col min="10258" max="10258" width="9.140625" style="342"/>
    <col min="10259" max="10259" width="14.140625" style="342" bestFit="1" customWidth="1"/>
    <col min="10260" max="10496" width="9.140625" style="342"/>
    <col min="10497" max="10497" width="9" style="342" customWidth="1"/>
    <col min="10498" max="10498" width="1.140625" style="342" customWidth="1"/>
    <col min="10499" max="10499" width="23.5703125" style="342" customWidth="1"/>
    <col min="10500" max="10501" width="0.85546875" style="342" customWidth="1"/>
    <col min="10502" max="10502" width="33" style="342" customWidth="1"/>
    <col min="10503" max="10504" width="0.85546875" style="342" customWidth="1"/>
    <col min="10505" max="10505" width="15.140625" style="342" bestFit="1" customWidth="1"/>
    <col min="10506" max="10507" width="0.85546875" style="342" customWidth="1"/>
    <col min="10508" max="10508" width="29.5703125" style="342" customWidth="1"/>
    <col min="10509" max="10509" width="1.5703125" style="342" customWidth="1"/>
    <col min="10510" max="10512" width="9.140625" style="342"/>
    <col min="10513" max="10513" width="13.85546875" style="342" bestFit="1" customWidth="1"/>
    <col min="10514" max="10514" width="9.140625" style="342"/>
    <col min="10515" max="10515" width="14.140625" style="342" bestFit="1" customWidth="1"/>
    <col min="10516" max="10752" width="9.140625" style="342"/>
    <col min="10753" max="10753" width="9" style="342" customWidth="1"/>
    <col min="10754" max="10754" width="1.140625" style="342" customWidth="1"/>
    <col min="10755" max="10755" width="23.5703125" style="342" customWidth="1"/>
    <col min="10756" max="10757" width="0.85546875" style="342" customWidth="1"/>
    <col min="10758" max="10758" width="33" style="342" customWidth="1"/>
    <col min="10759" max="10760" width="0.85546875" style="342" customWidth="1"/>
    <col min="10761" max="10761" width="15.140625" style="342" bestFit="1" customWidth="1"/>
    <col min="10762" max="10763" width="0.85546875" style="342" customWidth="1"/>
    <col min="10764" max="10764" width="29.5703125" style="342" customWidth="1"/>
    <col min="10765" max="10765" width="1.5703125" style="342" customWidth="1"/>
    <col min="10766" max="10768" width="9.140625" style="342"/>
    <col min="10769" max="10769" width="13.85546875" style="342" bestFit="1" customWidth="1"/>
    <col min="10770" max="10770" width="9.140625" style="342"/>
    <col min="10771" max="10771" width="14.140625" style="342" bestFit="1" customWidth="1"/>
    <col min="10772" max="11008" width="9.140625" style="342"/>
    <col min="11009" max="11009" width="9" style="342" customWidth="1"/>
    <col min="11010" max="11010" width="1.140625" style="342" customWidth="1"/>
    <col min="11011" max="11011" width="23.5703125" style="342" customWidth="1"/>
    <col min="11012" max="11013" width="0.85546875" style="342" customWidth="1"/>
    <col min="11014" max="11014" width="33" style="342" customWidth="1"/>
    <col min="11015" max="11016" width="0.85546875" style="342" customWidth="1"/>
    <col min="11017" max="11017" width="15.140625" style="342" bestFit="1" customWidth="1"/>
    <col min="11018" max="11019" width="0.85546875" style="342" customWidth="1"/>
    <col min="11020" max="11020" width="29.5703125" style="342" customWidth="1"/>
    <col min="11021" max="11021" width="1.5703125" style="342" customWidth="1"/>
    <col min="11022" max="11024" width="9.140625" style="342"/>
    <col min="11025" max="11025" width="13.85546875" style="342" bestFit="1" customWidth="1"/>
    <col min="11026" max="11026" width="9.140625" style="342"/>
    <col min="11027" max="11027" width="14.140625" style="342" bestFit="1" customWidth="1"/>
    <col min="11028" max="11264" width="9.140625" style="342"/>
    <col min="11265" max="11265" width="9" style="342" customWidth="1"/>
    <col min="11266" max="11266" width="1.140625" style="342" customWidth="1"/>
    <col min="11267" max="11267" width="23.5703125" style="342" customWidth="1"/>
    <col min="11268" max="11269" width="0.85546875" style="342" customWidth="1"/>
    <col min="11270" max="11270" width="33" style="342" customWidth="1"/>
    <col min="11271" max="11272" width="0.85546875" style="342" customWidth="1"/>
    <col min="11273" max="11273" width="15.140625" style="342" bestFit="1" customWidth="1"/>
    <col min="11274" max="11275" width="0.85546875" style="342" customWidth="1"/>
    <col min="11276" max="11276" width="29.5703125" style="342" customWidth="1"/>
    <col min="11277" max="11277" width="1.5703125" style="342" customWidth="1"/>
    <col min="11278" max="11280" width="9.140625" style="342"/>
    <col min="11281" max="11281" width="13.85546875" style="342" bestFit="1" customWidth="1"/>
    <col min="11282" max="11282" width="9.140625" style="342"/>
    <col min="11283" max="11283" width="14.140625" style="342" bestFit="1" customWidth="1"/>
    <col min="11284" max="11520" width="9.140625" style="342"/>
    <col min="11521" max="11521" width="9" style="342" customWidth="1"/>
    <col min="11522" max="11522" width="1.140625" style="342" customWidth="1"/>
    <col min="11523" max="11523" width="23.5703125" style="342" customWidth="1"/>
    <col min="11524" max="11525" width="0.85546875" style="342" customWidth="1"/>
    <col min="11526" max="11526" width="33" style="342" customWidth="1"/>
    <col min="11527" max="11528" width="0.85546875" style="342" customWidth="1"/>
    <col min="11529" max="11529" width="15.140625" style="342" bestFit="1" customWidth="1"/>
    <col min="11530" max="11531" width="0.85546875" style="342" customWidth="1"/>
    <col min="11532" max="11532" width="29.5703125" style="342" customWidth="1"/>
    <col min="11533" max="11533" width="1.5703125" style="342" customWidth="1"/>
    <col min="11534" max="11536" width="9.140625" style="342"/>
    <col min="11537" max="11537" width="13.85546875" style="342" bestFit="1" customWidth="1"/>
    <col min="11538" max="11538" width="9.140625" style="342"/>
    <col min="11539" max="11539" width="14.140625" style="342" bestFit="1" customWidth="1"/>
    <col min="11540" max="11776" width="9.140625" style="342"/>
    <col min="11777" max="11777" width="9" style="342" customWidth="1"/>
    <col min="11778" max="11778" width="1.140625" style="342" customWidth="1"/>
    <col min="11779" max="11779" width="23.5703125" style="342" customWidth="1"/>
    <col min="11780" max="11781" width="0.85546875" style="342" customWidth="1"/>
    <col min="11782" max="11782" width="33" style="342" customWidth="1"/>
    <col min="11783" max="11784" width="0.85546875" style="342" customWidth="1"/>
    <col min="11785" max="11785" width="15.140625" style="342" bestFit="1" customWidth="1"/>
    <col min="11786" max="11787" width="0.85546875" style="342" customWidth="1"/>
    <col min="11788" max="11788" width="29.5703125" style="342" customWidth="1"/>
    <col min="11789" max="11789" width="1.5703125" style="342" customWidth="1"/>
    <col min="11790" max="11792" width="9.140625" style="342"/>
    <col min="11793" max="11793" width="13.85546875" style="342" bestFit="1" customWidth="1"/>
    <col min="11794" max="11794" width="9.140625" style="342"/>
    <col min="11795" max="11795" width="14.140625" style="342" bestFit="1" customWidth="1"/>
    <col min="11796" max="12032" width="9.140625" style="342"/>
    <col min="12033" max="12033" width="9" style="342" customWidth="1"/>
    <col min="12034" max="12034" width="1.140625" style="342" customWidth="1"/>
    <col min="12035" max="12035" width="23.5703125" style="342" customWidth="1"/>
    <col min="12036" max="12037" width="0.85546875" style="342" customWidth="1"/>
    <col min="12038" max="12038" width="33" style="342" customWidth="1"/>
    <col min="12039" max="12040" width="0.85546875" style="342" customWidth="1"/>
    <col min="12041" max="12041" width="15.140625" style="342" bestFit="1" customWidth="1"/>
    <col min="12042" max="12043" width="0.85546875" style="342" customWidth="1"/>
    <col min="12044" max="12044" width="29.5703125" style="342" customWidth="1"/>
    <col min="12045" max="12045" width="1.5703125" style="342" customWidth="1"/>
    <col min="12046" max="12048" width="9.140625" style="342"/>
    <col min="12049" max="12049" width="13.85546875" style="342" bestFit="1" customWidth="1"/>
    <col min="12050" max="12050" width="9.140625" style="342"/>
    <col min="12051" max="12051" width="14.140625" style="342" bestFit="1" customWidth="1"/>
    <col min="12052" max="12288" width="9.140625" style="342"/>
    <col min="12289" max="12289" width="9" style="342" customWidth="1"/>
    <col min="12290" max="12290" width="1.140625" style="342" customWidth="1"/>
    <col min="12291" max="12291" width="23.5703125" style="342" customWidth="1"/>
    <col min="12292" max="12293" width="0.85546875" style="342" customWidth="1"/>
    <col min="12294" max="12294" width="33" style="342" customWidth="1"/>
    <col min="12295" max="12296" width="0.85546875" style="342" customWidth="1"/>
    <col min="12297" max="12297" width="15.140625" style="342" bestFit="1" customWidth="1"/>
    <col min="12298" max="12299" width="0.85546875" style="342" customWidth="1"/>
    <col min="12300" max="12300" width="29.5703125" style="342" customWidth="1"/>
    <col min="12301" max="12301" width="1.5703125" style="342" customWidth="1"/>
    <col min="12302" max="12304" width="9.140625" style="342"/>
    <col min="12305" max="12305" width="13.85546875" style="342" bestFit="1" customWidth="1"/>
    <col min="12306" max="12306" width="9.140625" style="342"/>
    <col min="12307" max="12307" width="14.140625" style="342" bestFit="1" customWidth="1"/>
    <col min="12308" max="12544" width="9.140625" style="342"/>
    <col min="12545" max="12545" width="9" style="342" customWidth="1"/>
    <col min="12546" max="12546" width="1.140625" style="342" customWidth="1"/>
    <col min="12547" max="12547" width="23.5703125" style="342" customWidth="1"/>
    <col min="12548" max="12549" width="0.85546875" style="342" customWidth="1"/>
    <col min="12550" max="12550" width="33" style="342" customWidth="1"/>
    <col min="12551" max="12552" width="0.85546875" style="342" customWidth="1"/>
    <col min="12553" max="12553" width="15.140625" style="342" bestFit="1" customWidth="1"/>
    <col min="12554" max="12555" width="0.85546875" style="342" customWidth="1"/>
    <col min="12556" max="12556" width="29.5703125" style="342" customWidth="1"/>
    <col min="12557" max="12557" width="1.5703125" style="342" customWidth="1"/>
    <col min="12558" max="12560" width="9.140625" style="342"/>
    <col min="12561" max="12561" width="13.85546875" style="342" bestFit="1" customWidth="1"/>
    <col min="12562" max="12562" width="9.140625" style="342"/>
    <col min="12563" max="12563" width="14.140625" style="342" bestFit="1" customWidth="1"/>
    <col min="12564" max="12800" width="9.140625" style="342"/>
    <col min="12801" max="12801" width="9" style="342" customWidth="1"/>
    <col min="12802" max="12802" width="1.140625" style="342" customWidth="1"/>
    <col min="12803" max="12803" width="23.5703125" style="342" customWidth="1"/>
    <col min="12804" max="12805" width="0.85546875" style="342" customWidth="1"/>
    <col min="12806" max="12806" width="33" style="342" customWidth="1"/>
    <col min="12807" max="12808" width="0.85546875" style="342" customWidth="1"/>
    <col min="12809" max="12809" width="15.140625" style="342" bestFit="1" customWidth="1"/>
    <col min="12810" max="12811" width="0.85546875" style="342" customWidth="1"/>
    <col min="12812" max="12812" width="29.5703125" style="342" customWidth="1"/>
    <col min="12813" max="12813" width="1.5703125" style="342" customWidth="1"/>
    <col min="12814" max="12816" width="9.140625" style="342"/>
    <col min="12817" max="12817" width="13.85546875" style="342" bestFit="1" customWidth="1"/>
    <col min="12818" max="12818" width="9.140625" style="342"/>
    <col min="12819" max="12819" width="14.140625" style="342" bestFit="1" customWidth="1"/>
    <col min="12820" max="13056" width="9.140625" style="342"/>
    <col min="13057" max="13057" width="9" style="342" customWidth="1"/>
    <col min="13058" max="13058" width="1.140625" style="342" customWidth="1"/>
    <col min="13059" max="13059" width="23.5703125" style="342" customWidth="1"/>
    <col min="13060" max="13061" width="0.85546875" style="342" customWidth="1"/>
    <col min="13062" max="13062" width="33" style="342" customWidth="1"/>
    <col min="13063" max="13064" width="0.85546875" style="342" customWidth="1"/>
    <col min="13065" max="13065" width="15.140625" style="342" bestFit="1" customWidth="1"/>
    <col min="13066" max="13067" width="0.85546875" style="342" customWidth="1"/>
    <col min="13068" max="13068" width="29.5703125" style="342" customWidth="1"/>
    <col min="13069" max="13069" width="1.5703125" style="342" customWidth="1"/>
    <col min="13070" max="13072" width="9.140625" style="342"/>
    <col min="13073" max="13073" width="13.85546875" style="342" bestFit="1" customWidth="1"/>
    <col min="13074" max="13074" width="9.140625" style="342"/>
    <col min="13075" max="13075" width="14.140625" style="342" bestFit="1" customWidth="1"/>
    <col min="13076" max="13312" width="9.140625" style="342"/>
    <col min="13313" max="13313" width="9" style="342" customWidth="1"/>
    <col min="13314" max="13314" width="1.140625" style="342" customWidth="1"/>
    <col min="13315" max="13315" width="23.5703125" style="342" customWidth="1"/>
    <col min="13316" max="13317" width="0.85546875" style="342" customWidth="1"/>
    <col min="13318" max="13318" width="33" style="342" customWidth="1"/>
    <col min="13319" max="13320" width="0.85546875" style="342" customWidth="1"/>
    <col min="13321" max="13321" width="15.140625" style="342" bestFit="1" customWidth="1"/>
    <col min="13322" max="13323" width="0.85546875" style="342" customWidth="1"/>
    <col min="13324" max="13324" width="29.5703125" style="342" customWidth="1"/>
    <col min="13325" max="13325" width="1.5703125" style="342" customWidth="1"/>
    <col min="13326" max="13328" width="9.140625" style="342"/>
    <col min="13329" max="13329" width="13.85546875" style="342" bestFit="1" customWidth="1"/>
    <col min="13330" max="13330" width="9.140625" style="342"/>
    <col min="13331" max="13331" width="14.140625" style="342" bestFit="1" customWidth="1"/>
    <col min="13332" max="13568" width="9.140625" style="342"/>
    <col min="13569" max="13569" width="9" style="342" customWidth="1"/>
    <col min="13570" max="13570" width="1.140625" style="342" customWidth="1"/>
    <col min="13571" max="13571" width="23.5703125" style="342" customWidth="1"/>
    <col min="13572" max="13573" width="0.85546875" style="342" customWidth="1"/>
    <col min="13574" max="13574" width="33" style="342" customWidth="1"/>
    <col min="13575" max="13576" width="0.85546875" style="342" customWidth="1"/>
    <col min="13577" max="13577" width="15.140625" style="342" bestFit="1" customWidth="1"/>
    <col min="13578" max="13579" width="0.85546875" style="342" customWidth="1"/>
    <col min="13580" max="13580" width="29.5703125" style="342" customWidth="1"/>
    <col min="13581" max="13581" width="1.5703125" style="342" customWidth="1"/>
    <col min="13582" max="13584" width="9.140625" style="342"/>
    <col min="13585" max="13585" width="13.85546875" style="342" bestFit="1" customWidth="1"/>
    <col min="13586" max="13586" width="9.140625" style="342"/>
    <col min="13587" max="13587" width="14.140625" style="342" bestFit="1" customWidth="1"/>
    <col min="13588" max="13824" width="9.140625" style="342"/>
    <col min="13825" max="13825" width="9" style="342" customWidth="1"/>
    <col min="13826" max="13826" width="1.140625" style="342" customWidth="1"/>
    <col min="13827" max="13827" width="23.5703125" style="342" customWidth="1"/>
    <col min="13828" max="13829" width="0.85546875" style="342" customWidth="1"/>
    <col min="13830" max="13830" width="33" style="342" customWidth="1"/>
    <col min="13831" max="13832" width="0.85546875" style="342" customWidth="1"/>
    <col min="13833" max="13833" width="15.140625" style="342" bestFit="1" customWidth="1"/>
    <col min="13834" max="13835" width="0.85546875" style="342" customWidth="1"/>
    <col min="13836" max="13836" width="29.5703125" style="342" customWidth="1"/>
    <col min="13837" max="13837" width="1.5703125" style="342" customWidth="1"/>
    <col min="13838" max="13840" width="9.140625" style="342"/>
    <col min="13841" max="13841" width="13.85546875" style="342" bestFit="1" customWidth="1"/>
    <col min="13842" max="13842" width="9.140625" style="342"/>
    <col min="13843" max="13843" width="14.140625" style="342" bestFit="1" customWidth="1"/>
    <col min="13844" max="14080" width="9.140625" style="342"/>
    <col min="14081" max="14081" width="9" style="342" customWidth="1"/>
    <col min="14082" max="14082" width="1.140625" style="342" customWidth="1"/>
    <col min="14083" max="14083" width="23.5703125" style="342" customWidth="1"/>
    <col min="14084" max="14085" width="0.85546875" style="342" customWidth="1"/>
    <col min="14086" max="14086" width="33" style="342" customWidth="1"/>
    <col min="14087" max="14088" width="0.85546875" style="342" customWidth="1"/>
    <col min="14089" max="14089" width="15.140625" style="342" bestFit="1" customWidth="1"/>
    <col min="14090" max="14091" width="0.85546875" style="342" customWidth="1"/>
    <col min="14092" max="14092" width="29.5703125" style="342" customWidth="1"/>
    <col min="14093" max="14093" width="1.5703125" style="342" customWidth="1"/>
    <col min="14094" max="14096" width="9.140625" style="342"/>
    <col min="14097" max="14097" width="13.85546875" style="342" bestFit="1" customWidth="1"/>
    <col min="14098" max="14098" width="9.140625" style="342"/>
    <col min="14099" max="14099" width="14.140625" style="342" bestFit="1" customWidth="1"/>
    <col min="14100" max="14336" width="9.140625" style="342"/>
    <col min="14337" max="14337" width="9" style="342" customWidth="1"/>
    <col min="14338" max="14338" width="1.140625" style="342" customWidth="1"/>
    <col min="14339" max="14339" width="23.5703125" style="342" customWidth="1"/>
    <col min="14340" max="14341" width="0.85546875" style="342" customWidth="1"/>
    <col min="14342" max="14342" width="33" style="342" customWidth="1"/>
    <col min="14343" max="14344" width="0.85546875" style="342" customWidth="1"/>
    <col min="14345" max="14345" width="15.140625" style="342" bestFit="1" customWidth="1"/>
    <col min="14346" max="14347" width="0.85546875" style="342" customWidth="1"/>
    <col min="14348" max="14348" width="29.5703125" style="342" customWidth="1"/>
    <col min="14349" max="14349" width="1.5703125" style="342" customWidth="1"/>
    <col min="14350" max="14352" width="9.140625" style="342"/>
    <col min="14353" max="14353" width="13.85546875" style="342" bestFit="1" customWidth="1"/>
    <col min="14354" max="14354" width="9.140625" style="342"/>
    <col min="14355" max="14355" width="14.140625" style="342" bestFit="1" customWidth="1"/>
    <col min="14356" max="14592" width="9.140625" style="342"/>
    <col min="14593" max="14593" width="9" style="342" customWidth="1"/>
    <col min="14594" max="14594" width="1.140625" style="342" customWidth="1"/>
    <col min="14595" max="14595" width="23.5703125" style="342" customWidth="1"/>
    <col min="14596" max="14597" width="0.85546875" style="342" customWidth="1"/>
    <col min="14598" max="14598" width="33" style="342" customWidth="1"/>
    <col min="14599" max="14600" width="0.85546875" style="342" customWidth="1"/>
    <col min="14601" max="14601" width="15.140625" style="342" bestFit="1" customWidth="1"/>
    <col min="14602" max="14603" width="0.85546875" style="342" customWidth="1"/>
    <col min="14604" max="14604" width="29.5703125" style="342" customWidth="1"/>
    <col min="14605" max="14605" width="1.5703125" style="342" customWidth="1"/>
    <col min="14606" max="14608" width="9.140625" style="342"/>
    <col min="14609" max="14609" width="13.85546875" style="342" bestFit="1" customWidth="1"/>
    <col min="14610" max="14610" width="9.140625" style="342"/>
    <col min="14611" max="14611" width="14.140625" style="342" bestFit="1" customWidth="1"/>
    <col min="14612" max="14848" width="9.140625" style="342"/>
    <col min="14849" max="14849" width="9" style="342" customWidth="1"/>
    <col min="14850" max="14850" width="1.140625" style="342" customWidth="1"/>
    <col min="14851" max="14851" width="23.5703125" style="342" customWidth="1"/>
    <col min="14852" max="14853" width="0.85546875" style="342" customWidth="1"/>
    <col min="14854" max="14854" width="33" style="342" customWidth="1"/>
    <col min="14855" max="14856" width="0.85546875" style="342" customWidth="1"/>
    <col min="14857" max="14857" width="15.140625" style="342" bestFit="1" customWidth="1"/>
    <col min="14858" max="14859" width="0.85546875" style="342" customWidth="1"/>
    <col min="14860" max="14860" width="29.5703125" style="342" customWidth="1"/>
    <col min="14861" max="14861" width="1.5703125" style="342" customWidth="1"/>
    <col min="14862" max="14864" width="9.140625" style="342"/>
    <col min="14865" max="14865" width="13.85546875" style="342" bestFit="1" customWidth="1"/>
    <col min="14866" max="14866" width="9.140625" style="342"/>
    <col min="14867" max="14867" width="14.140625" style="342" bestFit="1" customWidth="1"/>
    <col min="14868" max="15104" width="9.140625" style="342"/>
    <col min="15105" max="15105" width="9" style="342" customWidth="1"/>
    <col min="15106" max="15106" width="1.140625" style="342" customWidth="1"/>
    <col min="15107" max="15107" width="23.5703125" style="342" customWidth="1"/>
    <col min="15108" max="15109" width="0.85546875" style="342" customWidth="1"/>
    <col min="15110" max="15110" width="33" style="342" customWidth="1"/>
    <col min="15111" max="15112" width="0.85546875" style="342" customWidth="1"/>
    <col min="15113" max="15113" width="15.140625" style="342" bestFit="1" customWidth="1"/>
    <col min="15114" max="15115" width="0.85546875" style="342" customWidth="1"/>
    <col min="15116" max="15116" width="29.5703125" style="342" customWidth="1"/>
    <col min="15117" max="15117" width="1.5703125" style="342" customWidth="1"/>
    <col min="15118" max="15120" width="9.140625" style="342"/>
    <col min="15121" max="15121" width="13.85546875" style="342" bestFit="1" customWidth="1"/>
    <col min="15122" max="15122" width="9.140625" style="342"/>
    <col min="15123" max="15123" width="14.140625" style="342" bestFit="1" customWidth="1"/>
    <col min="15124" max="15360" width="9.140625" style="342"/>
    <col min="15361" max="15361" width="9" style="342" customWidth="1"/>
    <col min="15362" max="15362" width="1.140625" style="342" customWidth="1"/>
    <col min="15363" max="15363" width="23.5703125" style="342" customWidth="1"/>
    <col min="15364" max="15365" width="0.85546875" style="342" customWidth="1"/>
    <col min="15366" max="15366" width="33" style="342" customWidth="1"/>
    <col min="15367" max="15368" width="0.85546875" style="342" customWidth="1"/>
    <col min="15369" max="15369" width="15.140625" style="342" bestFit="1" customWidth="1"/>
    <col min="15370" max="15371" width="0.85546875" style="342" customWidth="1"/>
    <col min="15372" max="15372" width="29.5703125" style="342" customWidth="1"/>
    <col min="15373" max="15373" width="1.5703125" style="342" customWidth="1"/>
    <col min="15374" max="15376" width="9.140625" style="342"/>
    <col min="15377" max="15377" width="13.85546875" style="342" bestFit="1" customWidth="1"/>
    <col min="15378" max="15378" width="9.140625" style="342"/>
    <col min="15379" max="15379" width="14.140625" style="342" bestFit="1" customWidth="1"/>
    <col min="15380" max="15616" width="9.140625" style="342"/>
    <col min="15617" max="15617" width="9" style="342" customWidth="1"/>
    <col min="15618" max="15618" width="1.140625" style="342" customWidth="1"/>
    <col min="15619" max="15619" width="23.5703125" style="342" customWidth="1"/>
    <col min="15620" max="15621" width="0.85546875" style="342" customWidth="1"/>
    <col min="15622" max="15622" width="33" style="342" customWidth="1"/>
    <col min="15623" max="15624" width="0.85546875" style="342" customWidth="1"/>
    <col min="15625" max="15625" width="15.140625" style="342" bestFit="1" customWidth="1"/>
    <col min="15626" max="15627" width="0.85546875" style="342" customWidth="1"/>
    <col min="15628" max="15628" width="29.5703125" style="342" customWidth="1"/>
    <col min="15629" max="15629" width="1.5703125" style="342" customWidth="1"/>
    <col min="15630" max="15632" width="9.140625" style="342"/>
    <col min="15633" max="15633" width="13.85546875" style="342" bestFit="1" customWidth="1"/>
    <col min="15634" max="15634" width="9.140625" style="342"/>
    <col min="15635" max="15635" width="14.140625" style="342" bestFit="1" customWidth="1"/>
    <col min="15636" max="15872" width="9.140625" style="342"/>
    <col min="15873" max="15873" width="9" style="342" customWidth="1"/>
    <col min="15874" max="15874" width="1.140625" style="342" customWidth="1"/>
    <col min="15875" max="15875" width="23.5703125" style="342" customWidth="1"/>
    <col min="15876" max="15877" width="0.85546875" style="342" customWidth="1"/>
    <col min="15878" max="15878" width="33" style="342" customWidth="1"/>
    <col min="15879" max="15880" width="0.85546875" style="342" customWidth="1"/>
    <col min="15881" max="15881" width="15.140625" style="342" bestFit="1" customWidth="1"/>
    <col min="15882" max="15883" width="0.85546875" style="342" customWidth="1"/>
    <col min="15884" max="15884" width="29.5703125" style="342" customWidth="1"/>
    <col min="15885" max="15885" width="1.5703125" style="342" customWidth="1"/>
    <col min="15886" max="15888" width="9.140625" style="342"/>
    <col min="15889" max="15889" width="13.85546875" style="342" bestFit="1" customWidth="1"/>
    <col min="15890" max="15890" width="9.140625" style="342"/>
    <col min="15891" max="15891" width="14.140625" style="342" bestFit="1" customWidth="1"/>
    <col min="15892" max="16128" width="9.140625" style="342"/>
    <col min="16129" max="16129" width="9" style="342" customWidth="1"/>
    <col min="16130" max="16130" width="1.140625" style="342" customWidth="1"/>
    <col min="16131" max="16131" width="23.5703125" style="342" customWidth="1"/>
    <col min="16132" max="16133" width="0.85546875" style="342" customWidth="1"/>
    <col min="16134" max="16134" width="33" style="342" customWidth="1"/>
    <col min="16135" max="16136" width="0.85546875" style="342" customWidth="1"/>
    <col min="16137" max="16137" width="15.140625" style="342" bestFit="1" customWidth="1"/>
    <col min="16138" max="16139" width="0.85546875" style="342" customWidth="1"/>
    <col min="16140" max="16140" width="29.5703125" style="342" customWidth="1"/>
    <col min="16141" max="16141" width="1.5703125" style="342" customWidth="1"/>
    <col min="16142" max="16144" width="9.140625" style="342"/>
    <col min="16145" max="16145" width="13.85546875" style="342" bestFit="1" customWidth="1"/>
    <col min="16146" max="16146" width="9.140625" style="342"/>
    <col min="16147" max="16147" width="14.140625" style="342" bestFit="1" customWidth="1"/>
    <col min="16148" max="16384" width="9.140625" style="342"/>
  </cols>
  <sheetData>
    <row r="1" spans="1:13" ht="18" customHeight="1" thickBot="1">
      <c r="A1" s="552" t="s">
        <v>541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4"/>
    </row>
    <row r="2" spans="1:13" ht="15.6" customHeight="1" thickTop="1" thickBot="1">
      <c r="A2" s="555" t="s">
        <v>590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7"/>
    </row>
    <row r="3" spans="1:13" ht="10.5" customHeight="1" thickTop="1">
      <c r="A3" s="343"/>
      <c r="D3" s="342"/>
      <c r="G3" s="342"/>
      <c r="J3" s="342"/>
    </row>
    <row r="4" spans="1:13" ht="13.35" customHeight="1">
      <c r="A4" s="558" t="s">
        <v>591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60"/>
    </row>
    <row r="5" spans="1:13">
      <c r="A5" s="558" t="s">
        <v>592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60"/>
    </row>
    <row r="6" spans="1:13" ht="10.35" customHeight="1">
      <c r="A6" s="346"/>
      <c r="B6" s="347"/>
      <c r="C6" s="347"/>
      <c r="D6" s="347"/>
      <c r="E6" s="347"/>
      <c r="F6" s="347"/>
      <c r="G6" s="347"/>
      <c r="H6" s="347"/>
      <c r="I6" s="348"/>
      <c r="J6" s="347"/>
      <c r="K6" s="347"/>
      <c r="L6" s="347"/>
      <c r="M6" s="349"/>
    </row>
    <row r="7" spans="1:13" ht="6.75" customHeight="1">
      <c r="A7" s="350"/>
      <c r="B7" s="351"/>
      <c r="C7" s="351"/>
      <c r="D7" s="352"/>
      <c r="E7" s="351"/>
      <c r="F7" s="351"/>
      <c r="G7" s="352"/>
      <c r="H7" s="351"/>
      <c r="I7" s="353"/>
      <c r="J7" s="352"/>
      <c r="K7" s="351"/>
      <c r="L7" s="351"/>
      <c r="M7" s="352"/>
    </row>
    <row r="8" spans="1:13" s="355" customFormat="1">
      <c r="A8" s="354" t="s">
        <v>371</v>
      </c>
      <c r="C8" s="355" t="s">
        <v>593</v>
      </c>
      <c r="D8" s="356"/>
      <c r="F8" s="355" t="s">
        <v>594</v>
      </c>
      <c r="G8" s="356"/>
      <c r="I8" s="357" t="s">
        <v>595</v>
      </c>
      <c r="J8" s="356"/>
      <c r="L8" s="355" t="s">
        <v>596</v>
      </c>
      <c r="M8" s="356"/>
    </row>
    <row r="9" spans="1:13" s="355" customFormat="1">
      <c r="A9" s="354" t="s">
        <v>597</v>
      </c>
      <c r="D9" s="356"/>
      <c r="G9" s="356"/>
      <c r="I9" s="357" t="s">
        <v>378</v>
      </c>
      <c r="J9" s="356"/>
      <c r="M9" s="356"/>
    </row>
    <row r="10" spans="1:13" ht="5.25" customHeight="1">
      <c r="A10" s="358"/>
      <c r="B10" s="347"/>
      <c r="C10" s="347"/>
      <c r="D10" s="349"/>
      <c r="E10" s="347"/>
      <c r="F10" s="347"/>
      <c r="G10" s="349"/>
      <c r="H10" s="347"/>
      <c r="I10" s="348"/>
      <c r="J10" s="349"/>
      <c r="K10" s="347"/>
      <c r="L10" s="347"/>
      <c r="M10" s="349"/>
    </row>
    <row r="11" spans="1:13" ht="7.5" customHeight="1">
      <c r="A11" s="350"/>
    </row>
    <row r="12" spans="1:13" s="360" customFormat="1" ht="54.75" customHeight="1">
      <c r="A12" s="359" t="s">
        <v>504</v>
      </c>
      <c r="C12" s="360" t="s">
        <v>381</v>
      </c>
      <c r="D12" s="361"/>
      <c r="F12" s="360" t="s">
        <v>598</v>
      </c>
      <c r="G12" s="361"/>
      <c r="I12" s="439">
        <v>273398000</v>
      </c>
      <c r="J12" s="361"/>
      <c r="L12" s="360" t="s">
        <v>599</v>
      </c>
      <c r="M12" s="361"/>
    </row>
    <row r="13" spans="1:13" s="360" customFormat="1" ht="9.6" customHeight="1">
      <c r="A13" s="363"/>
      <c r="D13" s="361"/>
      <c r="G13" s="361"/>
      <c r="I13" s="439"/>
      <c r="J13" s="361"/>
      <c r="M13" s="361"/>
    </row>
    <row r="14" spans="1:13" s="360" customFormat="1" ht="38.25">
      <c r="A14" s="359" t="s">
        <v>600</v>
      </c>
      <c r="C14" s="360" t="s">
        <v>382</v>
      </c>
      <c r="D14" s="361"/>
      <c r="F14" s="364" t="s">
        <v>601</v>
      </c>
      <c r="G14" s="361"/>
      <c r="I14" s="439">
        <v>17355000</v>
      </c>
      <c r="J14" s="361"/>
      <c r="L14" s="364" t="s">
        <v>602</v>
      </c>
      <c r="M14" s="361"/>
    </row>
    <row r="15" spans="1:13" s="360" customFormat="1" ht="9.6" customHeight="1">
      <c r="A15" s="363"/>
      <c r="D15" s="361"/>
      <c r="G15" s="361"/>
      <c r="I15" s="439"/>
      <c r="J15" s="361"/>
      <c r="M15" s="361"/>
    </row>
    <row r="16" spans="1:13" s="360" customFormat="1" ht="25.5">
      <c r="A16" s="359" t="s">
        <v>603</v>
      </c>
      <c r="C16" s="360" t="s">
        <v>383</v>
      </c>
      <c r="D16" s="361"/>
      <c r="F16" s="364" t="s">
        <v>604</v>
      </c>
      <c r="G16" s="361"/>
      <c r="I16" s="439">
        <v>12530000</v>
      </c>
      <c r="J16" s="361"/>
      <c r="L16" s="364" t="s">
        <v>605</v>
      </c>
      <c r="M16" s="361"/>
    </row>
    <row r="17" spans="1:13" s="360" customFormat="1" ht="8.4499999999999993" customHeight="1">
      <c r="A17" s="363"/>
      <c r="D17" s="361"/>
      <c r="G17" s="361"/>
      <c r="I17" s="439"/>
      <c r="J17" s="361"/>
      <c r="M17" s="361"/>
    </row>
    <row r="18" spans="1:13" s="360" customFormat="1" ht="51">
      <c r="A18" s="359" t="s">
        <v>200</v>
      </c>
      <c r="C18" s="360" t="s">
        <v>385</v>
      </c>
      <c r="D18" s="361"/>
      <c r="F18" s="360" t="s">
        <v>606</v>
      </c>
      <c r="G18" s="361"/>
      <c r="I18" s="439">
        <v>9603000</v>
      </c>
      <c r="J18" s="361"/>
      <c r="L18" s="364" t="s">
        <v>607</v>
      </c>
      <c r="M18" s="361"/>
    </row>
    <row r="19" spans="1:13" s="360" customFormat="1" ht="9.6" customHeight="1">
      <c r="A19" s="363"/>
      <c r="D19" s="361"/>
      <c r="G19" s="361"/>
      <c r="I19" s="439"/>
      <c r="J19" s="361"/>
      <c r="M19" s="361"/>
    </row>
    <row r="20" spans="1:13" s="360" customFormat="1" ht="38.25">
      <c r="A20" s="359" t="s">
        <v>509</v>
      </c>
      <c r="C20" s="360" t="s">
        <v>386</v>
      </c>
      <c r="D20" s="361"/>
      <c r="F20" s="364" t="s">
        <v>608</v>
      </c>
      <c r="G20" s="361"/>
      <c r="I20" s="439">
        <v>18323000</v>
      </c>
      <c r="J20" s="361"/>
      <c r="L20" s="364" t="s">
        <v>609</v>
      </c>
      <c r="M20" s="361"/>
    </row>
    <row r="21" spans="1:13" s="360" customFormat="1" ht="9" customHeight="1">
      <c r="A21" s="363"/>
      <c r="D21" s="361"/>
      <c r="G21" s="361"/>
      <c r="I21" s="439"/>
      <c r="J21" s="361"/>
      <c r="M21" s="361"/>
    </row>
    <row r="22" spans="1:13" s="360" customFormat="1" ht="25.5">
      <c r="A22" s="359" t="s">
        <v>610</v>
      </c>
      <c r="C22" s="360" t="s">
        <v>388</v>
      </c>
      <c r="D22" s="361"/>
      <c r="F22" s="360" t="s">
        <v>611</v>
      </c>
      <c r="G22" s="361"/>
      <c r="I22" s="439">
        <v>12936000</v>
      </c>
      <c r="J22" s="361"/>
      <c r="L22" s="360" t="s">
        <v>612</v>
      </c>
      <c r="M22" s="361"/>
    </row>
    <row r="23" spans="1:13" s="360" customFormat="1" ht="7.35" customHeight="1">
      <c r="A23" s="363"/>
      <c r="D23" s="361"/>
      <c r="G23" s="361"/>
      <c r="I23" s="439"/>
      <c r="J23" s="361"/>
      <c r="M23" s="361"/>
    </row>
    <row r="24" spans="1:13" s="360" customFormat="1" ht="25.5">
      <c r="A24" s="359" t="s">
        <v>613</v>
      </c>
      <c r="C24" s="360" t="s">
        <v>389</v>
      </c>
      <c r="D24" s="361"/>
      <c r="F24" s="360" t="s">
        <v>614</v>
      </c>
      <c r="G24" s="361"/>
      <c r="I24" s="439">
        <v>12975000</v>
      </c>
      <c r="J24" s="361"/>
      <c r="L24" s="360" t="s">
        <v>615</v>
      </c>
      <c r="M24" s="361"/>
    </row>
    <row r="25" spans="1:13" s="360" customFormat="1" ht="6.6" customHeight="1">
      <c r="A25" s="363"/>
      <c r="D25" s="361"/>
      <c r="G25" s="361"/>
      <c r="I25" s="439"/>
      <c r="J25" s="361"/>
      <c r="M25" s="361"/>
    </row>
    <row r="26" spans="1:13" s="360" customFormat="1" ht="38.25">
      <c r="A26" s="359" t="s">
        <v>616</v>
      </c>
      <c r="C26" s="360" t="s">
        <v>572</v>
      </c>
      <c r="D26" s="361"/>
      <c r="F26" s="365" t="s">
        <v>617</v>
      </c>
      <c r="G26" s="361"/>
      <c r="I26" s="439">
        <v>30000000</v>
      </c>
      <c r="J26" s="361"/>
      <c r="L26" s="365" t="s">
        <v>618</v>
      </c>
      <c r="M26" s="361"/>
    </row>
    <row r="27" spans="1:13" s="360" customFormat="1" ht="9" customHeight="1">
      <c r="A27" s="363"/>
      <c r="D27" s="361"/>
      <c r="G27" s="361"/>
      <c r="I27" s="439"/>
      <c r="J27" s="361"/>
      <c r="M27" s="361"/>
    </row>
    <row r="28" spans="1:13" s="360" customFormat="1" ht="25.5">
      <c r="A28" s="363">
        <v>20017</v>
      </c>
      <c r="C28" s="360" t="s">
        <v>619</v>
      </c>
      <c r="D28" s="361"/>
      <c r="F28" s="364" t="s">
        <v>620</v>
      </c>
      <c r="G28" s="361"/>
      <c r="I28" s="439">
        <v>146258500000</v>
      </c>
      <c r="J28" s="361"/>
      <c r="L28" s="360" t="s">
        <v>621</v>
      </c>
      <c r="M28" s="361"/>
    </row>
    <row r="29" spans="1:13" s="360" customFormat="1" ht="9.6" customHeight="1">
      <c r="A29" s="363"/>
      <c r="D29" s="361"/>
      <c r="G29" s="361"/>
      <c r="I29" s="439"/>
      <c r="J29" s="361"/>
      <c r="M29" s="361"/>
    </row>
    <row r="30" spans="1:13" s="360" customFormat="1" ht="38.25">
      <c r="A30" s="363">
        <v>20018</v>
      </c>
      <c r="C30" s="360" t="s">
        <v>622</v>
      </c>
      <c r="D30" s="361"/>
      <c r="F30" s="364" t="s">
        <v>623</v>
      </c>
      <c r="G30" s="361"/>
      <c r="I30" s="439">
        <v>125986706000</v>
      </c>
      <c r="J30" s="361"/>
      <c r="L30" s="364" t="s">
        <v>624</v>
      </c>
      <c r="M30" s="361"/>
    </row>
    <row r="31" spans="1:13" s="360" customFormat="1">
      <c r="A31" s="363"/>
      <c r="D31" s="361"/>
      <c r="G31" s="361"/>
      <c r="I31" s="439"/>
      <c r="J31" s="361"/>
      <c r="M31" s="361"/>
    </row>
    <row r="32" spans="1:13" s="360" customFormat="1" ht="51">
      <c r="A32" s="363">
        <v>20019</v>
      </c>
      <c r="C32" s="360" t="s">
        <v>625</v>
      </c>
      <c r="D32" s="361"/>
      <c r="F32" s="364" t="s">
        <v>626</v>
      </c>
      <c r="G32" s="361"/>
      <c r="I32" s="439">
        <v>9779541000</v>
      </c>
      <c r="J32" s="361"/>
      <c r="L32" s="364" t="s">
        <v>627</v>
      </c>
      <c r="M32" s="361"/>
    </row>
    <row r="33" spans="1:13" s="360" customFormat="1" ht="9" customHeight="1">
      <c r="A33" s="363"/>
      <c r="D33" s="361"/>
      <c r="G33" s="361"/>
      <c r="I33" s="439"/>
      <c r="J33" s="361"/>
      <c r="M33" s="361"/>
    </row>
    <row r="34" spans="1:13" s="360" customFormat="1" ht="38.25">
      <c r="A34" s="363"/>
      <c r="D34" s="361"/>
      <c r="F34" s="364" t="s">
        <v>628</v>
      </c>
      <c r="G34" s="361"/>
      <c r="I34" s="439">
        <v>2033000000</v>
      </c>
      <c r="J34" s="361"/>
      <c r="L34" s="364" t="s">
        <v>629</v>
      </c>
      <c r="M34" s="361"/>
    </row>
    <row r="35" spans="1:13" s="360" customFormat="1" ht="9" customHeight="1">
      <c r="A35" s="363"/>
      <c r="D35" s="361"/>
      <c r="G35" s="361"/>
      <c r="I35" s="439"/>
      <c r="J35" s="361"/>
      <c r="M35" s="361"/>
    </row>
    <row r="36" spans="1:13" s="360" customFormat="1" ht="38.25">
      <c r="A36" s="363"/>
      <c r="D36" s="361"/>
      <c r="F36" s="364" t="s">
        <v>630</v>
      </c>
      <c r="G36" s="361"/>
      <c r="I36" s="439">
        <v>9250000000</v>
      </c>
      <c r="J36" s="361"/>
      <c r="L36" s="364" t="s">
        <v>631</v>
      </c>
      <c r="M36" s="361"/>
    </row>
    <row r="37" spans="1:13" s="360" customFormat="1" ht="8.4499999999999993" customHeight="1">
      <c r="A37" s="363"/>
      <c r="D37" s="361"/>
      <c r="F37" s="364"/>
      <c r="G37" s="361"/>
      <c r="I37" s="439"/>
      <c r="J37" s="361"/>
      <c r="L37" s="364"/>
      <c r="M37" s="361"/>
    </row>
    <row r="38" spans="1:13" s="360" customFormat="1" ht="69" customHeight="1">
      <c r="A38" s="363"/>
      <c r="D38" s="361"/>
      <c r="F38" s="360" t="s">
        <v>632</v>
      </c>
      <c r="G38" s="361"/>
      <c r="I38" s="439">
        <v>4552000000</v>
      </c>
      <c r="J38" s="361"/>
      <c r="L38" s="364" t="s">
        <v>633</v>
      </c>
      <c r="M38" s="361"/>
    </row>
    <row r="39" spans="1:13" s="360" customFormat="1" ht="9.6" customHeight="1">
      <c r="A39" s="363"/>
      <c r="D39" s="361"/>
      <c r="G39" s="361"/>
      <c r="I39" s="439"/>
      <c r="J39" s="361"/>
      <c r="M39" s="361"/>
    </row>
    <row r="40" spans="1:13" s="367" customFormat="1" ht="168" customHeight="1">
      <c r="A40" s="366"/>
      <c r="D40" s="368"/>
      <c r="F40" s="367" t="s">
        <v>634</v>
      </c>
      <c r="G40" s="368"/>
      <c r="I40" s="440">
        <v>173000000</v>
      </c>
      <c r="J40" s="368"/>
      <c r="L40" s="367" t="s">
        <v>635</v>
      </c>
      <c r="M40" s="368"/>
    </row>
    <row r="41" spans="1:13" s="360" customFormat="1" ht="7.35" customHeight="1">
      <c r="A41" s="369"/>
      <c r="I41" s="439"/>
    </row>
    <row r="42" spans="1:13" s="360" customFormat="1" ht="51">
      <c r="A42" s="363"/>
      <c r="D42" s="361"/>
      <c r="F42" s="360" t="s">
        <v>636</v>
      </c>
      <c r="G42" s="361"/>
      <c r="I42" s="439">
        <v>34800000</v>
      </c>
      <c r="J42" s="361"/>
      <c r="L42" s="360" t="s">
        <v>637</v>
      </c>
      <c r="M42" s="361"/>
    </row>
    <row r="43" spans="1:13" s="360" customFormat="1" ht="9.6" customHeight="1">
      <c r="A43" s="363"/>
      <c r="D43" s="361"/>
      <c r="G43" s="361"/>
      <c r="I43" s="439"/>
      <c r="J43" s="361"/>
      <c r="M43" s="361"/>
    </row>
    <row r="44" spans="1:13" s="360" customFormat="1" ht="38.25">
      <c r="A44" s="363"/>
      <c r="D44" s="361"/>
      <c r="F44" s="360" t="s">
        <v>638</v>
      </c>
      <c r="G44" s="361"/>
      <c r="I44" s="439">
        <v>459000000</v>
      </c>
      <c r="J44" s="361"/>
      <c r="L44" s="360" t="s">
        <v>639</v>
      </c>
      <c r="M44" s="361"/>
    </row>
    <row r="45" spans="1:13" s="360" customFormat="1" ht="9.6" customHeight="1">
      <c r="A45" s="363"/>
      <c r="D45" s="361"/>
      <c r="G45" s="361"/>
      <c r="I45" s="439"/>
      <c r="J45" s="361"/>
      <c r="M45" s="361"/>
    </row>
    <row r="46" spans="1:13" s="360" customFormat="1" ht="63.75">
      <c r="A46" s="363"/>
      <c r="D46" s="361"/>
      <c r="F46" s="360" t="s">
        <v>640</v>
      </c>
      <c r="G46" s="361"/>
      <c r="I46" s="439">
        <v>83579000</v>
      </c>
      <c r="J46" s="361"/>
      <c r="L46" s="360" t="s">
        <v>641</v>
      </c>
      <c r="M46" s="361"/>
    </row>
    <row r="47" spans="1:13" s="360" customFormat="1" ht="9.6" customHeight="1">
      <c r="A47" s="363"/>
      <c r="D47" s="361"/>
      <c r="G47" s="361"/>
      <c r="I47" s="439"/>
      <c r="J47" s="361"/>
      <c r="M47" s="361"/>
    </row>
    <row r="48" spans="1:13" s="360" customFormat="1" ht="38.25">
      <c r="A48" s="363"/>
      <c r="D48" s="361"/>
      <c r="F48" s="360" t="s">
        <v>642</v>
      </c>
      <c r="G48" s="361"/>
      <c r="I48" s="439">
        <v>46000000</v>
      </c>
      <c r="J48" s="361"/>
      <c r="L48" s="360" t="s">
        <v>643</v>
      </c>
      <c r="M48" s="361"/>
    </row>
    <row r="49" spans="1:15" s="360" customFormat="1" ht="9.6" customHeight="1">
      <c r="A49" s="363"/>
      <c r="D49" s="361"/>
      <c r="G49" s="361"/>
      <c r="I49" s="439"/>
      <c r="J49" s="361"/>
      <c r="M49" s="361"/>
    </row>
    <row r="50" spans="1:15" s="360" customFormat="1" ht="25.5">
      <c r="A50" s="363"/>
      <c r="D50" s="361"/>
      <c r="F50" s="360" t="s">
        <v>644</v>
      </c>
      <c r="G50" s="361"/>
      <c r="I50" s="439">
        <v>5000000</v>
      </c>
      <c r="J50" s="361"/>
      <c r="L50" s="360" t="s">
        <v>645</v>
      </c>
      <c r="M50" s="361"/>
    </row>
    <row r="51" spans="1:15" s="360" customFormat="1" ht="9.6" customHeight="1">
      <c r="A51" s="363"/>
      <c r="D51" s="361"/>
      <c r="G51" s="361"/>
      <c r="I51" s="439"/>
      <c r="J51" s="361"/>
      <c r="M51" s="361"/>
    </row>
    <row r="52" spans="1:15" s="360" customFormat="1">
      <c r="A52" s="363"/>
      <c r="D52" s="361"/>
      <c r="F52" s="360" t="s">
        <v>646</v>
      </c>
      <c r="G52" s="361"/>
      <c r="I52" s="439">
        <v>20600000</v>
      </c>
      <c r="J52" s="361"/>
      <c r="L52" s="360" t="s">
        <v>647</v>
      </c>
      <c r="M52" s="361"/>
    </row>
    <row r="53" spans="1:15" s="360" customFormat="1" ht="11.1" customHeight="1">
      <c r="A53" s="363"/>
      <c r="D53" s="361"/>
      <c r="G53" s="361"/>
      <c r="I53" s="439"/>
      <c r="J53" s="361"/>
      <c r="M53" s="361"/>
    </row>
    <row r="54" spans="1:15" s="360" customFormat="1" ht="51">
      <c r="A54" s="363"/>
      <c r="D54" s="361"/>
      <c r="F54" s="360" t="s">
        <v>648</v>
      </c>
      <c r="G54" s="361"/>
      <c r="I54" s="439">
        <v>26600000</v>
      </c>
      <c r="J54" s="361"/>
      <c r="L54" s="360" t="s">
        <v>649</v>
      </c>
      <c r="M54" s="361"/>
    </row>
    <row r="55" spans="1:15" s="360" customFormat="1" ht="9.6" customHeight="1">
      <c r="A55" s="363"/>
      <c r="D55" s="361"/>
      <c r="G55" s="361"/>
      <c r="I55" s="439"/>
      <c r="J55" s="361"/>
      <c r="M55" s="361"/>
    </row>
    <row r="56" spans="1:15" s="360" customFormat="1">
      <c r="A56" s="363"/>
      <c r="D56" s="361"/>
      <c r="F56" s="360" t="s">
        <v>650</v>
      </c>
      <c r="G56" s="361"/>
      <c r="I56" s="439">
        <v>6220000</v>
      </c>
      <c r="J56" s="361"/>
      <c r="L56" s="360" t="s">
        <v>651</v>
      </c>
      <c r="M56" s="361"/>
    </row>
    <row r="57" spans="1:15" s="360" customFormat="1" ht="9.6" customHeight="1">
      <c r="A57" s="363"/>
      <c r="D57" s="361"/>
      <c r="G57" s="361"/>
      <c r="I57" s="439"/>
      <c r="J57" s="361"/>
      <c r="M57" s="361"/>
    </row>
    <row r="58" spans="1:15" s="360" customFormat="1" ht="38.25">
      <c r="A58" s="363"/>
      <c r="D58" s="361"/>
      <c r="F58" s="360" t="s">
        <v>652</v>
      </c>
      <c r="G58" s="361"/>
      <c r="I58" s="439">
        <v>254000000</v>
      </c>
      <c r="J58" s="361"/>
      <c r="L58" s="360" t="s">
        <v>653</v>
      </c>
      <c r="M58" s="361"/>
      <c r="O58" s="370"/>
    </row>
    <row r="59" spans="1:15" s="360" customFormat="1" ht="9.6" customHeight="1">
      <c r="A59" s="363"/>
      <c r="D59" s="361"/>
      <c r="G59" s="361"/>
      <c r="I59" s="362"/>
      <c r="J59" s="361"/>
      <c r="M59" s="361"/>
    </row>
    <row r="60" spans="1:15" s="372" customFormat="1">
      <c r="A60" s="371"/>
      <c r="D60" s="373"/>
      <c r="F60" s="372" t="s">
        <v>654</v>
      </c>
      <c r="G60" s="373"/>
      <c r="I60" s="374">
        <f xml:space="preserve">   +SUM(I32:I58)</f>
        <v>26723340000</v>
      </c>
      <c r="J60" s="373"/>
      <c r="M60" s="373"/>
      <c r="O60" s="375"/>
    </row>
    <row r="61" spans="1:15" s="372" customFormat="1" ht="9.6" customHeight="1">
      <c r="A61" s="371"/>
      <c r="D61" s="373"/>
      <c r="G61" s="373"/>
      <c r="I61" s="374"/>
      <c r="J61" s="373"/>
      <c r="M61" s="373"/>
    </row>
    <row r="62" spans="1:15" s="372" customFormat="1" ht="9.6" customHeight="1">
      <c r="A62" s="371"/>
      <c r="D62" s="373"/>
      <c r="G62" s="373"/>
      <c r="I62" s="374"/>
      <c r="J62" s="373"/>
      <c r="M62" s="373"/>
    </row>
    <row r="63" spans="1:15" s="360" customFormat="1" ht="25.5">
      <c r="A63" s="359" t="s">
        <v>655</v>
      </c>
      <c r="C63" s="360" t="s">
        <v>656</v>
      </c>
      <c r="D63" s="361"/>
      <c r="F63" s="360" t="s">
        <v>657</v>
      </c>
      <c r="G63" s="361"/>
      <c r="I63" s="362">
        <v>9100000</v>
      </c>
      <c r="J63" s="361"/>
      <c r="L63" s="360" t="s">
        <v>658</v>
      </c>
      <c r="M63" s="361"/>
    </row>
    <row r="64" spans="1:15" s="360" customFormat="1" ht="9.6" customHeight="1">
      <c r="A64" s="359"/>
      <c r="D64" s="361"/>
      <c r="G64" s="361"/>
      <c r="I64" s="362"/>
      <c r="J64" s="361"/>
      <c r="M64" s="361"/>
    </row>
    <row r="65" spans="1:15" s="360" customFormat="1" ht="38.25">
      <c r="A65" s="363">
        <v>28058</v>
      </c>
      <c r="C65" s="360" t="s">
        <v>659</v>
      </c>
      <c r="D65" s="361"/>
      <c r="F65" s="360" t="s">
        <v>660</v>
      </c>
      <c r="G65" s="361"/>
      <c r="I65" s="362">
        <v>723700000</v>
      </c>
      <c r="J65" s="361"/>
      <c r="L65" s="360" t="s">
        <v>661</v>
      </c>
      <c r="M65" s="361"/>
      <c r="O65" s="370"/>
    </row>
    <row r="66" spans="1:15" s="360" customFormat="1" ht="9.6" customHeight="1">
      <c r="A66" s="363"/>
      <c r="D66" s="361"/>
      <c r="G66" s="361"/>
      <c r="I66" s="362"/>
      <c r="J66" s="361"/>
      <c r="M66" s="361"/>
    </row>
    <row r="67" spans="1:15" s="372" customFormat="1">
      <c r="A67" s="371"/>
      <c r="D67" s="373"/>
      <c r="F67" s="372" t="s">
        <v>662</v>
      </c>
      <c r="G67" s="373"/>
      <c r="I67" s="374">
        <f>SUM(I12:I30)+I60+SUM(I63:I65)</f>
        <v>300088466000</v>
      </c>
      <c r="J67" s="373"/>
      <c r="M67" s="373"/>
    </row>
    <row r="68" spans="1:15" s="372" customFormat="1" ht="11.45" customHeight="1">
      <c r="A68" s="371"/>
      <c r="D68" s="373"/>
      <c r="G68" s="373"/>
      <c r="I68" s="374"/>
      <c r="J68" s="373"/>
      <c r="M68" s="373"/>
    </row>
    <row r="69" spans="1:15" s="372" customFormat="1">
      <c r="A69" s="371"/>
      <c r="D69" s="373"/>
      <c r="G69" s="373"/>
      <c r="I69" s="374"/>
      <c r="J69" s="373"/>
      <c r="M69" s="373"/>
    </row>
    <row r="70" spans="1:15" s="372" customFormat="1">
      <c r="A70" s="371"/>
      <c r="D70" s="373"/>
      <c r="G70" s="373"/>
      <c r="I70" s="374"/>
      <c r="J70" s="373"/>
      <c r="M70" s="373"/>
    </row>
    <row r="71" spans="1:15" s="372" customFormat="1" ht="71.099999999999994" customHeight="1">
      <c r="A71" s="371"/>
      <c r="D71" s="373"/>
      <c r="G71" s="373"/>
      <c r="I71" s="374"/>
      <c r="J71" s="373"/>
      <c r="M71" s="373"/>
    </row>
    <row r="72" spans="1:15" s="372" customFormat="1">
      <c r="A72" s="371"/>
      <c r="D72" s="373"/>
      <c r="G72" s="373"/>
      <c r="I72" s="374"/>
      <c r="J72" s="373"/>
      <c r="M72" s="373"/>
      <c r="O72" s="375"/>
    </row>
    <row r="73" spans="1:15" s="372" customFormat="1">
      <c r="A73" s="371"/>
      <c r="D73" s="373"/>
      <c r="G73" s="373"/>
      <c r="I73" s="374"/>
      <c r="J73" s="373"/>
      <c r="M73" s="373"/>
    </row>
    <row r="74" spans="1:15" s="372" customFormat="1">
      <c r="A74" s="371"/>
      <c r="D74" s="373"/>
      <c r="G74" s="373"/>
      <c r="I74" s="374"/>
      <c r="J74" s="373"/>
      <c r="M74" s="373"/>
    </row>
    <row r="75" spans="1:15" s="372" customFormat="1">
      <c r="A75" s="371"/>
      <c r="D75" s="373"/>
      <c r="G75" s="373"/>
      <c r="I75" s="374"/>
      <c r="J75" s="373"/>
      <c r="M75" s="373"/>
    </row>
    <row r="76" spans="1:15" s="372" customFormat="1">
      <c r="A76" s="371"/>
      <c r="D76" s="373"/>
      <c r="G76" s="373"/>
      <c r="I76" s="374"/>
      <c r="J76" s="373"/>
      <c r="M76" s="373"/>
    </row>
    <row r="77" spans="1:15" s="372" customFormat="1">
      <c r="A77" s="371"/>
      <c r="D77" s="373"/>
      <c r="G77" s="373"/>
      <c r="I77" s="374"/>
      <c r="J77" s="373"/>
      <c r="M77" s="373"/>
    </row>
    <row r="78" spans="1:15" s="372" customFormat="1">
      <c r="A78" s="371"/>
      <c r="D78" s="373"/>
      <c r="G78" s="373"/>
      <c r="I78" s="374"/>
      <c r="J78" s="373"/>
      <c r="M78" s="373"/>
    </row>
    <row r="79" spans="1:15" s="372" customFormat="1">
      <c r="A79" s="371"/>
      <c r="D79" s="373"/>
      <c r="G79" s="373"/>
      <c r="I79" s="374"/>
      <c r="J79" s="373"/>
      <c r="M79" s="373"/>
    </row>
    <row r="80" spans="1:15" s="372" customFormat="1" ht="9" customHeight="1">
      <c r="A80" s="371"/>
      <c r="D80" s="373"/>
      <c r="G80" s="373"/>
      <c r="I80" s="374"/>
      <c r="J80" s="373"/>
      <c r="M80" s="373"/>
    </row>
    <row r="81" spans="1:13" s="372" customFormat="1">
      <c r="A81" s="371"/>
      <c r="D81" s="373"/>
      <c r="G81" s="373"/>
      <c r="I81" s="374"/>
      <c r="J81" s="373"/>
      <c r="M81" s="373"/>
    </row>
    <row r="82" spans="1:13" s="377" customFormat="1">
      <c r="A82" s="376"/>
      <c r="D82" s="378"/>
      <c r="G82" s="378"/>
      <c r="I82" s="379"/>
      <c r="J82" s="378"/>
      <c r="M82" s="378"/>
    </row>
    <row r="83" spans="1:13" s="372" customFormat="1">
      <c r="A83" s="371"/>
      <c r="D83" s="373"/>
      <c r="G83" s="373"/>
      <c r="I83" s="374"/>
      <c r="J83" s="373"/>
      <c r="M83" s="373"/>
    </row>
    <row r="84" spans="1:13" s="372" customFormat="1">
      <c r="A84" s="371"/>
      <c r="D84" s="373"/>
      <c r="G84" s="373"/>
      <c r="I84" s="374"/>
      <c r="J84" s="373"/>
      <c r="M84" s="373"/>
    </row>
    <row r="85" spans="1:13" s="372" customFormat="1">
      <c r="A85" s="371"/>
      <c r="D85" s="373"/>
      <c r="G85" s="373"/>
      <c r="I85" s="374"/>
      <c r="J85" s="373"/>
      <c r="M85" s="373"/>
    </row>
    <row r="86" spans="1:13" s="372" customFormat="1">
      <c r="A86" s="371"/>
      <c r="D86" s="373"/>
      <c r="G86" s="373"/>
      <c r="I86" s="374"/>
      <c r="J86" s="373"/>
      <c r="M86" s="373"/>
    </row>
    <row r="87" spans="1:13" s="372" customFormat="1">
      <c r="A87" s="371"/>
      <c r="D87" s="373"/>
      <c r="G87" s="373"/>
      <c r="I87" s="374"/>
      <c r="J87" s="373"/>
      <c r="M87" s="373"/>
    </row>
    <row r="88" spans="1:13" s="372" customFormat="1">
      <c r="A88" s="371"/>
      <c r="D88" s="373"/>
      <c r="G88" s="373"/>
      <c r="I88" s="374"/>
      <c r="J88" s="373"/>
      <c r="M88" s="373"/>
    </row>
    <row r="89" spans="1:13" s="384" customFormat="1" ht="9.6" customHeight="1">
      <c r="A89" s="380"/>
      <c r="B89" s="381"/>
      <c r="C89" s="381"/>
      <c r="D89" s="382"/>
      <c r="E89" s="381"/>
      <c r="F89" s="381"/>
      <c r="G89" s="382"/>
      <c r="H89" s="381"/>
      <c r="I89" s="383"/>
      <c r="J89" s="382"/>
      <c r="K89" s="381"/>
      <c r="L89" s="381"/>
      <c r="M89" s="382"/>
    </row>
    <row r="99" spans="15:17" ht="15">
      <c r="O99" s="385"/>
      <c r="Q99" s="386"/>
    </row>
    <row r="100" spans="15:17" ht="15">
      <c r="O100" s="385"/>
      <c r="Q100" s="387"/>
    </row>
    <row r="101" spans="15:17" ht="15">
      <c r="O101" s="385"/>
      <c r="Q101" s="387"/>
    </row>
    <row r="113" spans="15:19" ht="15">
      <c r="S113" s="388"/>
    </row>
    <row r="114" spans="15:19">
      <c r="S114" s="387"/>
    </row>
    <row r="115" spans="15:19">
      <c r="S115" s="387"/>
    </row>
    <row r="116" spans="15:19">
      <c r="S116" s="389"/>
    </row>
    <row r="119" spans="15:19" ht="15">
      <c r="O119" s="385"/>
    </row>
    <row r="120" spans="15:19" ht="15">
      <c r="O120" s="390"/>
    </row>
    <row r="135" spans="1:13" s="347" customFormat="1">
      <c r="A135" s="358"/>
      <c r="D135" s="349"/>
      <c r="G135" s="349"/>
      <c r="I135" s="348"/>
      <c r="J135" s="349"/>
      <c r="M135" s="349"/>
    </row>
  </sheetData>
  <mergeCells count="4">
    <mergeCell ref="A1:M1"/>
    <mergeCell ref="A2:M2"/>
    <mergeCell ref="A4:M4"/>
    <mergeCell ref="A5:M5"/>
  </mergeCells>
  <printOptions horizontalCentered="1"/>
  <pageMargins left="0.22" right="0.24" top="0.47" bottom="0.42" header="0.18" footer="0.16"/>
  <pageSetup scale="75" firstPageNumber="15" orientation="portrait" useFirstPageNumber="1" r:id="rId1"/>
  <headerFooter alignWithMargins="0">
    <oddFooter>&amp;C&amp;"Times New Roman,Regular"&amp;12&amp;P</oddFooter>
  </headerFooter>
  <rowBreaks count="1" manualBreakCount="1">
    <brk id="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Index</vt:lpstr>
      <vt:lpstr>STATEMENT 1</vt:lpstr>
      <vt:lpstr>STATEMENT 2</vt:lpstr>
      <vt:lpstr>STATEMENT 3</vt:lpstr>
      <vt:lpstr>STATEMENT 4</vt:lpstr>
      <vt:lpstr>STATEMENT 5</vt:lpstr>
      <vt:lpstr>'STATEMENT 1'!Print_Area</vt:lpstr>
      <vt:lpstr>'STATEMENT 2'!Print_Area</vt:lpstr>
      <vt:lpstr>'STATEMENT 3'!Print_Area</vt:lpstr>
      <vt:lpstr>'STATEMENT 4'!Print_Area</vt:lpstr>
      <vt:lpstr>'STATEMENT 5'!Print_Area</vt:lpstr>
      <vt:lpstr>'STATEMENT 2'!Print_Titles</vt:lpstr>
      <vt:lpstr>'STATEMENT 3'!Print_Titles</vt:lpstr>
      <vt:lpstr>'STATEMENT 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Jody-Kay Tucker</dc:creator>
  <cp:lastModifiedBy>MY PC</cp:lastModifiedBy>
  <cp:lastPrinted>2021-02-19T15:59:41Z</cp:lastPrinted>
  <dcterms:created xsi:type="dcterms:W3CDTF">2015-11-25T17:02:09Z</dcterms:created>
  <dcterms:modified xsi:type="dcterms:W3CDTF">2022-11-29T15:12:46Z</dcterms:modified>
</cp:coreProperties>
</file>